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35" windowHeight="4755" tabRatio="900" firstSheet="3" activeTab="10"/>
  </bookViews>
  <sheets>
    <sheet name="Unit Conversion" sheetId="1" r:id="rId1"/>
    <sheet name="Calendar" sheetId="2" r:id="rId2"/>
    <sheet name="Checkbook Balance" sheetId="3" r:id="rId3"/>
    <sheet name="Loan Payment" sheetId="4" r:id="rId4"/>
    <sheet name="BMI &amp; Calorie" sheetId="5" r:id="rId5"/>
    <sheet name="Blood Pressure" sheetId="6" r:id="rId6"/>
    <sheet name="Conversion" sheetId="7" r:id="rId7"/>
    <sheet name="Convert" sheetId="8" r:id="rId8"/>
    <sheet name="Right Triangle" sheetId="9" r:id="rId9"/>
    <sheet name="Tap Drill" sheetId="10" r:id="rId10"/>
    <sheet name="Drill Bit Equivalence" sheetId="11" r:id="rId11"/>
    <sheet name="Chart 1" sheetId="12" r:id="rId12"/>
    <sheet name="Chart 2" sheetId="13" r:id="rId13"/>
    <sheet name="Bolt Circle" sheetId="14" r:id="rId14"/>
    <sheet name="Spiral" sheetId="15" r:id="rId15"/>
    <sheet name="Rotate" sheetId="16" r:id="rId16"/>
    <sheet name="Cone Fab" sheetId="17" r:id="rId17"/>
    <sheet name="Circle Segment" sheetId="18" r:id="rId18"/>
    <sheet name="Polygon" sheetId="19" r:id="rId19"/>
    <sheet name="Trig Function" sheetId="20" r:id="rId20"/>
    <sheet name="Data" sheetId="21" state="hidden" r:id="rId21"/>
  </sheets>
  <definedNames>
    <definedName name="_Order1" hidden="1">255</definedName>
    <definedName name="_Order2" hidden="1">255</definedName>
    <definedName name="CELLNOTE0" localSheetId="13">'Bolt Circle'!#REF!</definedName>
    <definedName name="CELLNOTE0" localSheetId="14">'Spiral'!#REF!</definedName>
    <definedName name="HEADDAYA3">'Calendar'!$U$65:$AA$70,'Calendar'!$L$65:$R$70,'Calendar'!$C$65:$I$70,'Calendar'!$C$51:$I$56,'Calendar'!$L$51:$R$56,'Calendar'!$U$51:$AA$56,'Calendar'!$U$37:$AA$42,'Calendar'!$L$37:$R$41,'Calendar'!$L$42:$R$42,'Calendar'!$C$37:$I$42,'Calendar'!$C$23:$I$28,'Calendar'!$L$23:$R$28,'Calendar'!$U$23:$AA$28</definedName>
    <definedName name="HEADDAYA4">'Calendar'!$C$23:$I$28,'Calendar'!$L$23,'Calendar'!$R$23,'Calendar'!$L$23:$R$28,'Calendar'!$U$23:$AA$28,'Calendar'!$C$37:$I$42,'Calendar'!$L$37:$R$42,'Calendar'!$U$37:$AA$42,'Calendar'!$C$51:$I$56,'Calendar'!$L$51:$R$55,'Calendar'!$L$51:$R$56,'Calendar'!$U$51:$AA$55,'Calendar'!$AA$55,'Calendar'!$U$51:$AA$56,'Calendar'!$C$65:$I$70,'Calendar'!$L$65:$R$70,'Calendar'!$U$65:$AA$70</definedName>
    <definedName name="HEADWEEKA3">'Calendar'!$C$22:$I$22,'Calendar'!$L$22:$R$22,'Calendar'!$U$22:$AA$22,'Calendar'!$C$36:$I$36,'Calendar'!$L$36:$R$36,'Calendar'!$U$36:$AA$36,'Calendar'!$C$50:$I$50,'Calendar'!$L$50:$R$50,'Calendar'!$U$50:$AA$50,'Calendar'!$C$64:$I$64,'Calendar'!$L$64:$R$64,'Calendar'!$U$64:$AA$64</definedName>
    <definedName name="HEADWEEKA4">'Calendar'!$C$22:$I$22,'Calendar'!$L$22:$R$22,'Calendar'!$U$22:$AA$22,'Calendar'!$U$36:$AA$36,'Calendar'!$L$36:$R$36,'Calendar'!$C$36:$I$36,'Calendar'!$U$50:$AA$50,'Calendar'!$L$50:$R$50,'Calendar'!$C$50:$I$50,'Calendar'!$U$64:$AA$64,'Calendar'!$L$64:$R$64,'Calendar'!$C$64:$I$64</definedName>
    <definedName name="_xlnm.Print_Area" localSheetId="13">'Bolt Circle'!$B$1:$K$52</definedName>
    <definedName name="_xlnm.Print_Area" localSheetId="1">'Calendar'!$A$10:$AB$72</definedName>
    <definedName name="_xlnm.Print_Area" localSheetId="6">'Conversion'!$B$1:$I$20</definedName>
    <definedName name="_xlnm.Print_Area" localSheetId="7">'Convert'!$B$2:$C$9</definedName>
    <definedName name="_xlnm.Print_Area" localSheetId="3">OFFSET('Loan Payment'!$A$1,0,0,(COUNTIF('Loan Payment'!$I$12:$I$383,"=End of year*")*12)+11,9)</definedName>
    <definedName name="_xlnm.Print_Area" localSheetId="8">'Right Triangle'!$B$1:$I$21</definedName>
    <definedName name="_xlnm.Print_Area" localSheetId="14">'Spiral'!$B$1:$S$53</definedName>
    <definedName name="_xlnm.Print_Area" localSheetId="0">'Unit Conversion'!$A$1:$U$24</definedName>
    <definedName name="_xlnm.Print_Titles" localSheetId="3">'Loan Payment'!$10:$11</definedName>
  </definedNames>
  <calcPr fullCalcOnLoad="1"/>
</workbook>
</file>

<file path=xl/comments14.xml><?xml version="1.0" encoding="utf-8"?>
<comments xmlns="http://schemas.openxmlformats.org/spreadsheetml/2006/main">
  <authors>
    <author>N May</author>
  </authors>
  <commentList>
    <comment ref="C7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X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9" authorId="0">
      <text>
        <r>
          <rPr>
            <sz val="16"/>
            <rFont val="Tahoma"/>
            <family val="2"/>
          </rPr>
          <t>If you want holes calculated in a Counter Clockwise rotation, enter a NEGATIVE # of holes.
Maximum # of holes is 100.</t>
        </r>
      </text>
    </comment>
    <comment ref="C13" authorId="0">
      <text>
        <r>
          <rPr>
            <sz val="16"/>
            <rFont val="Tahoma"/>
            <family val="2"/>
          </rPr>
          <t xml:space="preserve">Enter number as exact as possible.
It will be rounded according to your setting in the Precision area.
If the First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&amp;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coordinates above are from an incremental center and you prefer the calculated values from an absolute coordinate, enter the absolute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value of the bolt circle center.
All calculated values will be absolute.</t>
        </r>
      </text>
    </comment>
    <comment ref="C17" authorId="0">
      <text>
        <r>
          <rPr>
            <sz val="16"/>
            <rFont val="Tahoma"/>
            <family val="2"/>
          </rPr>
          <t>Enter the desired precision of your calculations.
Example: If the precision is set to 0.0005, all calculations will be rounded to the nearest 0.0005.</t>
        </r>
      </text>
    </comment>
    <comment ref="C8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Y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14" authorId="0">
      <text>
        <r>
          <rPr>
            <sz val="16"/>
            <rFont val="Tahoma"/>
            <family val="2"/>
          </rPr>
          <t xml:space="preserve">Enter number as exact as possible.
It will be rounded according to your setting in the Precision area.
If the First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&amp;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coordinates above are from an incremental center and you prefer the calculated values from an absolute coordinate, enter the absolute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value of the bolt circle center.
All calculated values will be absolute.</t>
        </r>
      </text>
    </comment>
  </commentList>
</comments>
</file>

<file path=xl/comments15.xml><?xml version="1.0" encoding="utf-8"?>
<comments xmlns="http://schemas.openxmlformats.org/spreadsheetml/2006/main">
  <authors>
    <author>N May</author>
  </authors>
  <commentList>
    <comment ref="C5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X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9" authorId="0">
      <text>
        <r>
          <rPr>
            <sz val="16"/>
            <rFont val="Tahoma"/>
            <family val="2"/>
          </rPr>
          <t>Enter the degrees of seperation to the next hole.
EXAMPLE: Enter 1.5 for 1 degree 30 minutes.
If you want holes calculated in a Counter Clockwise rotation, enter a NEGATIVE DEGREE.</t>
        </r>
      </text>
    </comment>
    <comment ref="C20" authorId="0">
      <text>
        <r>
          <rPr>
            <sz val="16"/>
            <rFont val="Tahoma"/>
            <family val="2"/>
          </rPr>
          <t>Enter the desired precision of your calculations.
Example: If the precision is set to 0.0005, all calculations will be rounded to the nearest 0.0005.</t>
        </r>
      </text>
    </comment>
    <comment ref="C6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Y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12" authorId="0">
      <text>
        <r>
          <rPr>
            <sz val="16"/>
            <rFont val="Tahoma"/>
            <family val="2"/>
          </rPr>
          <t>Enter the desired radius difference per hole.
A negative number will calculate a decreasing radius.</t>
        </r>
      </text>
    </comment>
    <comment ref="C13" authorId="0">
      <text>
        <r>
          <rPr>
            <sz val="16"/>
            <rFont val="Tahoma"/>
            <family val="2"/>
          </rPr>
          <t>Enter the desired radius difference per revolution.
A negative number will calculate a decreasing radius.</t>
        </r>
      </text>
    </comment>
    <comment ref="C17" authorId="0">
      <text>
        <r>
          <rPr>
            <sz val="16"/>
            <rFont val="Tahoma"/>
            <family val="2"/>
          </rPr>
          <t>Enter the desired number of revolutions.</t>
        </r>
      </text>
    </comment>
  </commentList>
</comments>
</file>

<file path=xl/sharedStrings.xml><?xml version="1.0" encoding="utf-8"?>
<sst xmlns="http://schemas.openxmlformats.org/spreadsheetml/2006/main" count="3285" uniqueCount="1143">
  <si>
    <t>Outstanding Checks</t>
  </si>
  <si>
    <t>Checkbook Reconciliation</t>
  </si>
  <si>
    <t>&amp; ATM Withdrawals</t>
  </si>
  <si>
    <t>Check#</t>
  </si>
  <si>
    <t>Amount</t>
  </si>
  <si>
    <t>Ending Balance</t>
  </si>
  <si>
    <t>Checkbook</t>
  </si>
  <si>
    <t>on Statement</t>
  </si>
  <si>
    <t>Balance</t>
  </si>
  <si>
    <t>Bank</t>
  </si>
  <si>
    <t>Deposits</t>
  </si>
  <si>
    <t>Charges</t>
  </si>
  <si>
    <t>Not Credited</t>
  </si>
  <si>
    <t>Interest</t>
  </si>
  <si>
    <t>Total Deposits</t>
  </si>
  <si>
    <t>Total 1</t>
  </si>
  <si>
    <t>Total 2</t>
  </si>
  <si>
    <t>Total 1 &amp; 2 should be the same</t>
  </si>
  <si>
    <t>Total 1 &amp; 2 Difference</t>
  </si>
  <si>
    <t>Total withdrawals outstanding:</t>
  </si>
  <si>
    <t>Loan Payment Calculator</t>
  </si>
  <si>
    <t>For a fixed rate loan (360 month maximum)</t>
  </si>
  <si>
    <t>No $ sign</t>
  </si>
  <si>
    <t>Amount of money borrowed</t>
  </si>
  <si>
    <t>Monthly payment</t>
  </si>
  <si>
    <t>No % sign</t>
  </si>
  <si>
    <t>Annual interest rate. Example: 8.5% = 8.5</t>
  </si>
  <si>
    <t>Total interest paid</t>
  </si>
  <si>
    <t>Number of monthly payments</t>
  </si>
  <si>
    <t>Total amount repaid</t>
  </si>
  <si>
    <t>Enter 1 - 12</t>
  </si>
  <si>
    <t>Month first payment due. Example May = 5</t>
  </si>
  <si>
    <t>Year Loan</t>
  </si>
  <si>
    <t>Desired Additional Money Paid Monthly</t>
  </si>
  <si>
    <t>Pmnt</t>
  </si>
  <si>
    <t>Beginning</t>
  </si>
  <si>
    <t>Principal</t>
  </si>
  <si>
    <t>Ending</t>
  </si>
  <si>
    <t>Total Principal</t>
  </si>
  <si>
    <t>Total Interest</t>
  </si>
  <si>
    <t>End of Year</t>
  </si>
  <si>
    <t>#</t>
  </si>
  <si>
    <t>Payment</t>
  </si>
  <si>
    <t>Paid to Date</t>
  </si>
  <si>
    <t>Totals</t>
  </si>
  <si>
    <t>Body Mass Index &amp; Calorie Calculator</t>
  </si>
  <si>
    <t>NOTE: Not to be used for health or weight purposes</t>
  </si>
  <si>
    <t>Weight (in pounds)</t>
  </si>
  <si>
    <t>Height (in inches)</t>
  </si>
  <si>
    <t>Age (in years)</t>
  </si>
  <si>
    <t>Women</t>
  </si>
  <si>
    <t>Men</t>
  </si>
  <si>
    <t>Conversion Calculator</t>
  </si>
  <si>
    <t>Metric to English</t>
  </si>
  <si>
    <t>English to Metric</t>
  </si>
  <si>
    <t>Millimeters=</t>
  </si>
  <si>
    <t>Inches</t>
  </si>
  <si>
    <t>Inches=</t>
  </si>
  <si>
    <t>Millimeters</t>
  </si>
  <si>
    <t>Centimeters=</t>
  </si>
  <si>
    <t>Centimeters</t>
  </si>
  <si>
    <t>Meters=</t>
  </si>
  <si>
    <t>Feet</t>
  </si>
  <si>
    <t>Feet=</t>
  </si>
  <si>
    <t>Meters</t>
  </si>
  <si>
    <t>Yards</t>
  </si>
  <si>
    <t>Yards=</t>
  </si>
  <si>
    <t>Kilometers=</t>
  </si>
  <si>
    <t>Miles</t>
  </si>
  <si>
    <t>Miles=</t>
  </si>
  <si>
    <t>Kilometers</t>
  </si>
  <si>
    <t>Celsius=</t>
  </si>
  <si>
    <t>Fahrenheit</t>
  </si>
  <si>
    <t>Fahrenheit=</t>
  </si>
  <si>
    <t>Celsius</t>
  </si>
  <si>
    <t>Grams=</t>
  </si>
  <si>
    <t>Ounces</t>
  </si>
  <si>
    <t>Ounces=</t>
  </si>
  <si>
    <t>Grams</t>
  </si>
  <si>
    <t>Kilograms=</t>
  </si>
  <si>
    <t>Pounds</t>
  </si>
  <si>
    <t>Pounds=</t>
  </si>
  <si>
    <t>Kilograms</t>
  </si>
  <si>
    <t>Liters=</t>
  </si>
  <si>
    <t>Quarts</t>
  </si>
  <si>
    <t>Quarts=</t>
  </si>
  <si>
    <t>Liters</t>
  </si>
  <si>
    <t>Gallons</t>
  </si>
  <si>
    <t>Gallons=</t>
  </si>
  <si>
    <t>Radians=</t>
  </si>
  <si>
    <t>Degrees</t>
  </si>
  <si>
    <t>Degrees=</t>
  </si>
  <si>
    <t>Radians</t>
  </si>
  <si>
    <t>Convert</t>
  </si>
  <si>
    <t>From</t>
  </si>
  <si>
    <t>To</t>
  </si>
  <si>
    <t>Right Triangle Solver</t>
  </si>
  <si>
    <t>Enter ONLY TWO known pieces of information</t>
  </si>
  <si>
    <t>a</t>
  </si>
  <si>
    <t>b</t>
  </si>
  <si>
    <t>c</t>
  </si>
  <si>
    <t>Y</t>
  </si>
  <si>
    <t>Z</t>
  </si>
  <si>
    <t>a=</t>
  </si>
  <si>
    <t>b=</t>
  </si>
  <si>
    <t>c=</t>
  </si>
  <si>
    <t>X=</t>
  </si>
  <si>
    <t>Y=</t>
  </si>
  <si>
    <t>Z=</t>
  </si>
  <si>
    <t>Degree Converter</t>
  </si>
  <si>
    <t>Degrees entered as a decimal will be converted to Deg, Min, Sec</t>
  </si>
  <si>
    <t>Minutes</t>
  </si>
  <si>
    <t>Seconds</t>
  </si>
  <si>
    <t xml:space="preserve"> Angle as a decimal</t>
  </si>
  <si>
    <t xml:space="preserve">a  </t>
  </si>
  <si>
    <t xml:space="preserve">NOTE: </t>
  </si>
  <si>
    <t>The Degree Converter above has</t>
  </si>
  <si>
    <t>no influence on the Right Triangle</t>
  </si>
  <si>
    <t xml:space="preserve">Z     </t>
  </si>
  <si>
    <t>calculations.</t>
  </si>
  <si>
    <t>X</t>
  </si>
  <si>
    <t>Tap Drill Size For Inch &amp; Metric 60 Degree Threads</t>
  </si>
  <si>
    <t>Use the chart to the right to obtain the correct diameter for number screws</t>
  </si>
  <si>
    <t>Cold Form</t>
  </si>
  <si>
    <t>Screw</t>
  </si>
  <si>
    <t>INCH</t>
  </si>
  <si>
    <t>Tap Drill Size</t>
  </si>
  <si>
    <t>Number</t>
  </si>
  <si>
    <t>Diameter</t>
  </si>
  <si>
    <t>Screw Diameter</t>
  </si>
  <si>
    <t>inches</t>
  </si>
  <si>
    <t>Threads per inch</t>
  </si>
  <si>
    <t>mm</t>
  </si>
  <si>
    <t>Percent Thread</t>
  </si>
  <si>
    <t>%</t>
  </si>
  <si>
    <t>METRIC</t>
  </si>
  <si>
    <t>Thread Pitch</t>
  </si>
  <si>
    <t>Approximate Threads Per Inch</t>
  </si>
  <si>
    <t>Drill Bit Equivalence</t>
  </si>
  <si>
    <t>Decimal</t>
  </si>
  <si>
    <t>Fraction</t>
  </si>
  <si>
    <t>&amp; Letter</t>
  </si>
  <si>
    <t>Millimeter</t>
  </si>
  <si>
    <t>Letter</t>
  </si>
  <si>
    <t>15/64</t>
  </si>
  <si>
    <t>3/8</t>
  </si>
  <si>
    <t>29/32</t>
  </si>
  <si>
    <t>1/8</t>
  </si>
  <si>
    <t>V</t>
  </si>
  <si>
    <t>59/64</t>
  </si>
  <si>
    <t>B</t>
  </si>
  <si>
    <t>15/16</t>
  </si>
  <si>
    <t>C</t>
  </si>
  <si>
    <t>61/64</t>
  </si>
  <si>
    <t>D</t>
  </si>
  <si>
    <t>W</t>
  </si>
  <si>
    <t>31/32</t>
  </si>
  <si>
    <t>3/64</t>
  </si>
  <si>
    <t>25/64</t>
  </si>
  <si>
    <t>1/4</t>
  </si>
  <si>
    <t>E</t>
  </si>
  <si>
    <t>63/64</t>
  </si>
  <si>
    <t>9/64</t>
  </si>
  <si>
    <t>1</t>
  </si>
  <si>
    <t>F</t>
  </si>
  <si>
    <t>13/32</t>
  </si>
  <si>
    <t>1-1/64</t>
  </si>
  <si>
    <t>G</t>
  </si>
  <si>
    <t>1-1/32</t>
  </si>
  <si>
    <t>27/64</t>
  </si>
  <si>
    <t>17/64</t>
  </si>
  <si>
    <t>1-3/64</t>
  </si>
  <si>
    <t>7/16</t>
  </si>
  <si>
    <t>1-1/16</t>
  </si>
  <si>
    <t>H</t>
  </si>
  <si>
    <t>29/64</t>
  </si>
  <si>
    <t>1-5/64</t>
  </si>
  <si>
    <t>1/16</t>
  </si>
  <si>
    <t>15/32</t>
  </si>
  <si>
    <t>5/32</t>
  </si>
  <si>
    <t>I</t>
  </si>
  <si>
    <t>1-3/32</t>
  </si>
  <si>
    <t>31/64</t>
  </si>
  <si>
    <t>J</t>
  </si>
  <si>
    <t>1-7/64</t>
  </si>
  <si>
    <t>1/2</t>
  </si>
  <si>
    <t>K</t>
  </si>
  <si>
    <t>1-1/8</t>
  </si>
  <si>
    <t>9/32</t>
  </si>
  <si>
    <t>33/64</t>
  </si>
  <si>
    <t>1-9/64</t>
  </si>
  <si>
    <t>17/32</t>
  </si>
  <si>
    <t>1-5/32</t>
  </si>
  <si>
    <t>35/64</t>
  </si>
  <si>
    <t>L</t>
  </si>
  <si>
    <t>1-11/64</t>
  </si>
  <si>
    <t>9/16</t>
  </si>
  <si>
    <t>11/64</t>
  </si>
  <si>
    <t>M</t>
  </si>
  <si>
    <t>1-3/16</t>
  </si>
  <si>
    <t>37/64</t>
  </si>
  <si>
    <t>5/64</t>
  </si>
  <si>
    <t>19/64</t>
  </si>
  <si>
    <t>1-13/64</t>
  </si>
  <si>
    <t>19/32</t>
  </si>
  <si>
    <t>1-7/32</t>
  </si>
  <si>
    <t>N</t>
  </si>
  <si>
    <t>39/64</t>
  </si>
  <si>
    <t>1-15/64</t>
  </si>
  <si>
    <t>5/8</t>
  </si>
  <si>
    <t>1-1/4</t>
  </si>
  <si>
    <t>41/64</t>
  </si>
  <si>
    <t>5/16</t>
  </si>
  <si>
    <t>1-17/64</t>
  </si>
  <si>
    <t>3/16</t>
  </si>
  <si>
    <t>21/32</t>
  </si>
  <si>
    <t>O</t>
  </si>
  <si>
    <t>1-9/32</t>
  </si>
  <si>
    <t>43/64</t>
  </si>
  <si>
    <t>1-19/64</t>
  </si>
  <si>
    <t>11/16</t>
  </si>
  <si>
    <t>P</t>
  </si>
  <si>
    <t>1-5/16</t>
  </si>
  <si>
    <t>45/64</t>
  </si>
  <si>
    <t>1-21/64</t>
  </si>
  <si>
    <t>3/32</t>
  </si>
  <si>
    <t>21/64</t>
  </si>
  <si>
    <t xml:space="preserve">Foot-pounds/Second </t>
  </si>
  <si>
    <t xml:space="preserve">Gram-cal/Second </t>
  </si>
  <si>
    <t xml:space="preserve">Watts </t>
  </si>
  <si>
    <t xml:space="preserve">BTU/Minute </t>
  </si>
  <si>
    <t xml:space="preserve">Foot-lbs/Second </t>
  </si>
  <si>
    <t xml:space="preserve">HorsePower </t>
  </si>
  <si>
    <t xml:space="preserve">Kilowatts </t>
  </si>
  <si>
    <t xml:space="preserve">BTU/Square Foot/Minute </t>
  </si>
  <si>
    <t xml:space="preserve">watts/Square in </t>
  </si>
  <si>
    <t xml:space="preserve">Bushels </t>
  </si>
  <si>
    <t xml:space="preserve">Cubic Inches </t>
  </si>
  <si>
    <t xml:space="preserve">Cubic Meters </t>
  </si>
  <si>
    <t xml:space="preserve">Liters </t>
  </si>
  <si>
    <t xml:space="preserve">Pecks </t>
  </si>
  <si>
    <t xml:space="preserve">Pint (dry) </t>
  </si>
  <si>
    <t xml:space="preserve">Calorie </t>
  </si>
  <si>
    <t xml:space="preserve">HorsePower-hour </t>
  </si>
  <si>
    <t xml:space="preserve">HorsePower-hour (metric) </t>
  </si>
  <si>
    <t xml:space="preserve">Joule </t>
  </si>
  <si>
    <t xml:space="preserve">Kilowatt-hour </t>
  </si>
  <si>
    <t xml:space="preserve">Calorie, Gram (mean) </t>
  </si>
  <si>
    <t xml:space="preserve">BTU (mean) </t>
  </si>
  <si>
    <t xml:space="preserve">Candle/Square Centimeters </t>
  </si>
  <si>
    <t xml:space="preserve">Lamberts </t>
  </si>
  <si>
    <t xml:space="preserve">Candle/Square Inch </t>
  </si>
  <si>
    <t xml:space="preserve">Centares (centiares) </t>
  </si>
  <si>
    <t xml:space="preserve">Centigrams </t>
  </si>
  <si>
    <t xml:space="preserve">Grams </t>
  </si>
  <si>
    <t xml:space="preserve">Centiliter </t>
  </si>
  <si>
    <t xml:space="preserve">Ounce fluid (US) </t>
  </si>
  <si>
    <t xml:space="preserve">Centiliters </t>
  </si>
  <si>
    <t>Centimeter-Dynes</t>
  </si>
  <si>
    <t>Meter-kgs</t>
  </si>
  <si>
    <t>Pound-Feet</t>
  </si>
  <si>
    <t>Mils</t>
  </si>
  <si>
    <t xml:space="preserve">Centimeters of Mercury </t>
  </si>
  <si>
    <t xml:space="preserve">Feet of water </t>
  </si>
  <si>
    <t>Centimeters per Minute</t>
  </si>
  <si>
    <t>Inches per Minute</t>
  </si>
  <si>
    <t>Centimeters per Second</t>
  </si>
  <si>
    <t>Feet per Minute</t>
  </si>
  <si>
    <t>Feet per Second</t>
  </si>
  <si>
    <t>Inch Listing</t>
  </si>
  <si>
    <t xml:space="preserve">Centimeters/Seconds </t>
  </si>
  <si>
    <t xml:space="preserve">Feet/Minutes </t>
  </si>
  <si>
    <t xml:space="preserve">Feet/Seconds </t>
  </si>
  <si>
    <t xml:space="preserve">Kilometers/Hour </t>
  </si>
  <si>
    <t xml:space="preserve">Knots </t>
  </si>
  <si>
    <t xml:space="preserve">Meters/Minutes </t>
  </si>
  <si>
    <t xml:space="preserve">Miles/Hour </t>
  </si>
  <si>
    <t xml:space="preserve">Miles/Minutes </t>
  </si>
  <si>
    <t xml:space="preserve">Centimeters/Seconds/Seconds </t>
  </si>
  <si>
    <t xml:space="preserve">Feet/Seconds/Seconds </t>
  </si>
  <si>
    <t xml:space="preserve">Kilometers/Hour/Seconds </t>
  </si>
  <si>
    <t xml:space="preserve">meters/Seconds/Seconds </t>
  </si>
  <si>
    <t xml:space="preserve">Miles/Hour/Seconds </t>
  </si>
  <si>
    <t>Centimeters-Dynes</t>
  </si>
  <si>
    <t>Centimeter-Grams</t>
  </si>
  <si>
    <t>Chain</t>
  </si>
  <si>
    <t xml:space="preserve">Circular Mils </t>
  </si>
  <si>
    <t xml:space="preserve">Square Centimeters </t>
  </si>
  <si>
    <t xml:space="preserve">Square Inches </t>
  </si>
  <si>
    <t xml:space="preserve">Square Mils </t>
  </si>
  <si>
    <t xml:space="preserve">Cord Feet </t>
  </si>
  <si>
    <t xml:space="preserve">Cubic Centimeter </t>
  </si>
  <si>
    <t xml:space="preserve">Cubic foot </t>
  </si>
  <si>
    <t xml:space="preserve">Cubic Inch </t>
  </si>
  <si>
    <t xml:space="preserve">Cubic meter </t>
  </si>
  <si>
    <t xml:space="preserve">Cubic millimeter </t>
  </si>
  <si>
    <t xml:space="preserve">Cubic yard </t>
  </si>
  <si>
    <t xml:space="preserve">Drachm (Brit. fluid) </t>
  </si>
  <si>
    <t xml:space="preserve">Dram (U.S. fluid) </t>
  </si>
  <si>
    <t xml:space="preserve">Gallon (Brit liq.) </t>
  </si>
  <si>
    <t xml:space="preserve">Gallon (US liq.) </t>
  </si>
  <si>
    <t xml:space="preserve">Liter </t>
  </si>
  <si>
    <t xml:space="preserve">Pint (US liq.) </t>
  </si>
  <si>
    <t xml:space="preserve">Quart (US liq.) </t>
  </si>
  <si>
    <t xml:space="preserve">Bushels (dry) </t>
  </si>
  <si>
    <t xml:space="preserve">Cubic Centimeters </t>
  </si>
  <si>
    <t xml:space="preserve">Cubic Yards </t>
  </si>
  <si>
    <t xml:space="preserve">Gallons (US liq.) </t>
  </si>
  <si>
    <t xml:space="preserve">Pints (US liq.) </t>
  </si>
  <si>
    <t xml:space="preserve">Quarts (US liq) </t>
  </si>
  <si>
    <t>Cubic Feet per Minute</t>
  </si>
  <si>
    <t>Cubic Meters per Second</t>
  </si>
  <si>
    <t>Liters per Minute</t>
  </si>
  <si>
    <t xml:space="preserve">Cubic Feet/Minute </t>
  </si>
  <si>
    <t xml:space="preserve">Cubic cms/Second </t>
  </si>
  <si>
    <t xml:space="preserve">Gallons/Second </t>
  </si>
  <si>
    <t xml:space="preserve">Liters/Second </t>
  </si>
  <si>
    <t xml:space="preserve">Pounds of water/Minute </t>
  </si>
  <si>
    <t xml:space="preserve">Cubic Feet/Second </t>
  </si>
  <si>
    <t xml:space="preserve">Gallons/Minute </t>
  </si>
  <si>
    <t xml:space="preserve">Million Gallons/day </t>
  </si>
  <si>
    <t>Cubic Centimeters</t>
  </si>
  <si>
    <t>Cubic Millimeters</t>
  </si>
  <si>
    <t xml:space="preserve">Mil-Feet </t>
  </si>
  <si>
    <t xml:space="preserve">Quarts (US liq.) </t>
  </si>
  <si>
    <t>Gallon (U.K. liquid)</t>
  </si>
  <si>
    <t>Cubic Meters per Minute</t>
  </si>
  <si>
    <t>Gallons (U.K. liquid) per Minute</t>
  </si>
  <si>
    <t>Gallons (U.S. liquid) per Minute</t>
  </si>
  <si>
    <t xml:space="preserve">Cubic Yards/Minute </t>
  </si>
  <si>
    <t xml:space="preserve">Cubic Yards/Minutes </t>
  </si>
  <si>
    <t xml:space="preserve">Cubic Feet/Seconds </t>
  </si>
  <si>
    <t xml:space="preserve">Deciliters </t>
  </si>
  <si>
    <t>Decimeters</t>
  </si>
  <si>
    <t xml:space="preserve">Degrees/Seconds </t>
  </si>
  <si>
    <t xml:space="preserve">Revolutions/Minutes </t>
  </si>
  <si>
    <t xml:space="preserve">Revolutions/Seconds </t>
  </si>
  <si>
    <t xml:space="preserve">Dekagrams </t>
  </si>
  <si>
    <t xml:space="preserve">Dekaliters </t>
  </si>
  <si>
    <t>Dekameters</t>
  </si>
  <si>
    <t xml:space="preserve">Drams </t>
  </si>
  <si>
    <t xml:space="preserve">Grains </t>
  </si>
  <si>
    <t xml:space="preserve">Ounces </t>
  </si>
  <si>
    <t xml:space="preserve">Drams(apoth. or troy) </t>
  </si>
  <si>
    <t xml:space="preserve">Ounces (troy) </t>
  </si>
  <si>
    <t xml:space="preserve">ounces(avoirdupois) </t>
  </si>
  <si>
    <t xml:space="preserve">Drops </t>
  </si>
  <si>
    <t xml:space="preserve">Teaspoons </t>
  </si>
  <si>
    <t>Dyne/Centimeter</t>
  </si>
  <si>
    <t>Erg/sq. millimeter</t>
  </si>
  <si>
    <t>Dyne/sq. Centimeter</t>
  </si>
  <si>
    <t>Atmospheres</t>
  </si>
  <si>
    <t>Inch of mercury at 0øC</t>
  </si>
  <si>
    <t>Inch of water at 4øC</t>
  </si>
  <si>
    <t xml:space="preserve">Dyne/sq. cm </t>
  </si>
  <si>
    <t>1/4 &amp; E</t>
  </si>
  <si>
    <t xml:space="preserve">Inch of Mercury at 0øC </t>
  </si>
  <si>
    <t xml:space="preserve">Inch of water at 4øC </t>
  </si>
  <si>
    <t>Dynes</t>
  </si>
  <si>
    <t>Joules/Centimeter</t>
  </si>
  <si>
    <t>Joules/Meter (Newtons)</t>
  </si>
  <si>
    <t>Newtons (N)</t>
  </si>
  <si>
    <t>Poundals</t>
  </si>
  <si>
    <t xml:space="preserve">Dynes </t>
  </si>
  <si>
    <t xml:space="preserve">Kilograms </t>
  </si>
  <si>
    <t xml:space="preserve">Poundals </t>
  </si>
  <si>
    <t xml:space="preserve">Pounds </t>
  </si>
  <si>
    <t>Dynes/sq. Centimeter</t>
  </si>
  <si>
    <t>Ell</t>
  </si>
  <si>
    <t xml:space="preserve">Em (pica) </t>
  </si>
  <si>
    <t>Inch</t>
  </si>
  <si>
    <t xml:space="preserve">Watt-Hours </t>
  </si>
  <si>
    <t xml:space="preserve">Ergs/Second </t>
  </si>
  <si>
    <t xml:space="preserve">Faraday/Second </t>
  </si>
  <si>
    <t xml:space="preserve">Ampere (absolute) </t>
  </si>
  <si>
    <t>Fathoms</t>
  </si>
  <si>
    <t>Meter</t>
  </si>
  <si>
    <t xml:space="preserve">Miles (naut.) </t>
  </si>
  <si>
    <t xml:space="preserve">Miles (stat.) </t>
  </si>
  <si>
    <t xml:space="preserve">in. of Mercury </t>
  </si>
  <si>
    <t>Feet per Hour</t>
  </si>
  <si>
    <t>Meters per Hour</t>
  </si>
  <si>
    <t>Meters per Minute</t>
  </si>
  <si>
    <t>Meters per Second</t>
  </si>
  <si>
    <t xml:space="preserve">Kilometers/kr </t>
  </si>
  <si>
    <t xml:space="preserve">Meters/Seconds/Seconds </t>
  </si>
  <si>
    <t xml:space="preserve">Foot-Candle </t>
  </si>
  <si>
    <t xml:space="preserve">Lumen/sq. Meter </t>
  </si>
  <si>
    <t xml:space="preserve">Lumen/Square Meter </t>
  </si>
  <si>
    <t xml:space="preserve">Foot-pounds </t>
  </si>
  <si>
    <t xml:space="preserve">hp-Hours </t>
  </si>
  <si>
    <t xml:space="preserve">Foot-pounds/Minute </t>
  </si>
  <si>
    <t>Furlongs</t>
  </si>
  <si>
    <t>Rods</t>
  </si>
  <si>
    <t>Gallon (U.S. liquid)</t>
  </si>
  <si>
    <t xml:space="preserve">Gallons (liq. British imp.) </t>
  </si>
  <si>
    <t>Liters per Second</t>
  </si>
  <si>
    <t xml:space="preserve">Gallons (US) </t>
  </si>
  <si>
    <t xml:space="preserve">Gallons (imp.) </t>
  </si>
  <si>
    <t xml:space="preserve">Cubic Feet/Hour </t>
  </si>
  <si>
    <t xml:space="preserve">Gilberts/Centimeters </t>
  </si>
  <si>
    <t xml:space="preserve">amp-turns/Centimeters </t>
  </si>
  <si>
    <t xml:space="preserve">amp-turns/in </t>
  </si>
  <si>
    <t xml:space="preserve">amp-turns/Meter </t>
  </si>
  <si>
    <t xml:space="preserve">Gills </t>
  </si>
  <si>
    <t xml:space="preserve">Pints (liq.) </t>
  </si>
  <si>
    <t xml:space="preserve">Gills (British) </t>
  </si>
  <si>
    <t xml:space="preserve">Cubic cm </t>
  </si>
  <si>
    <t>Grains (1/7000 lb. avoirdupois)</t>
  </si>
  <si>
    <t xml:space="preserve">Grains (troy) </t>
  </si>
  <si>
    <t xml:space="preserve">Grains (avoirdupois) </t>
  </si>
  <si>
    <t xml:space="preserve">Ounces (avoirdupois) </t>
  </si>
  <si>
    <t xml:space="preserve">Pennyweight (troy) </t>
  </si>
  <si>
    <t>Grains</t>
  </si>
  <si>
    <t>Kilograms (kg)</t>
  </si>
  <si>
    <t>Ounces (avoirdupois)</t>
  </si>
  <si>
    <t>Ounces (troy)</t>
  </si>
  <si>
    <t xml:space="preserve">Carat(metric) </t>
  </si>
  <si>
    <t xml:space="preserve">Dram </t>
  </si>
  <si>
    <t xml:space="preserve">Joules/cm </t>
  </si>
  <si>
    <t xml:space="preserve">Joules/meter (newtons) </t>
  </si>
  <si>
    <t xml:space="preserve">Milligrams </t>
  </si>
  <si>
    <t xml:space="preserve">Ounces(avoirdupois) </t>
  </si>
  <si>
    <t>Grams per Cubic Centimeter</t>
  </si>
  <si>
    <t>Pounds per Cubic Inch</t>
  </si>
  <si>
    <t xml:space="preserve">Grams/cm </t>
  </si>
  <si>
    <t xml:space="preserve">Pounds/Inch </t>
  </si>
  <si>
    <t xml:space="preserve">Grams/cu. cm </t>
  </si>
  <si>
    <t xml:space="preserve">Pounds/cu. Foot </t>
  </si>
  <si>
    <t xml:space="preserve">Pounds/cu. Inch </t>
  </si>
  <si>
    <t>Hand</t>
  </si>
  <si>
    <t xml:space="preserve">Hectares </t>
  </si>
  <si>
    <t xml:space="preserve">Hectograms </t>
  </si>
  <si>
    <t xml:space="preserve">Hectoliters </t>
  </si>
  <si>
    <t>Hectometers</t>
  </si>
  <si>
    <t xml:space="preserve">hectowatts </t>
  </si>
  <si>
    <t xml:space="preserve">Hogsheads (British) </t>
  </si>
  <si>
    <t xml:space="preserve">Hogsheads (U.S.) </t>
  </si>
  <si>
    <t xml:space="preserve">Gallons (U.S.) </t>
  </si>
  <si>
    <t xml:space="preserve">Foot-lbs/Minute </t>
  </si>
  <si>
    <t xml:space="preserve">Kilogram-Calories/Minute </t>
  </si>
  <si>
    <t xml:space="preserve">HorsePower (boiler) </t>
  </si>
  <si>
    <t xml:space="preserve">HorsePower (metric) </t>
  </si>
  <si>
    <t xml:space="preserve">Hours (mean solar) </t>
  </si>
  <si>
    <t xml:space="preserve">Days </t>
  </si>
  <si>
    <t xml:space="preserve">Weeks </t>
  </si>
  <si>
    <t>Hundredweight (long)</t>
  </si>
  <si>
    <t>Hundredweight (short)</t>
  </si>
  <si>
    <t>Kilogram (kg)</t>
  </si>
  <si>
    <t xml:space="preserve">Hundredweights (long) </t>
  </si>
  <si>
    <t xml:space="preserve">Tons (long) </t>
  </si>
  <si>
    <t xml:space="preserve">Hundredweights (short) </t>
  </si>
  <si>
    <t xml:space="preserve">Tons (metric) </t>
  </si>
  <si>
    <t xml:space="preserve">Inches of Mercury </t>
  </si>
  <si>
    <t xml:space="preserve">Pounds/sq. ft. </t>
  </si>
  <si>
    <t xml:space="preserve">Pounds/sq. in. </t>
  </si>
  <si>
    <t>Inches of water (at 4øC)</t>
  </si>
  <si>
    <t xml:space="preserve">Ounces/sq. Inch </t>
  </si>
  <si>
    <t>Millimeters per Minute</t>
  </si>
  <si>
    <t xml:space="preserve">international Ampere </t>
  </si>
  <si>
    <t xml:space="preserve">international Volt </t>
  </si>
  <si>
    <t xml:space="preserve">Joules (absolute) </t>
  </si>
  <si>
    <t xml:space="preserve">Joules/Centimeters </t>
  </si>
  <si>
    <t xml:space="preserve">dynes </t>
  </si>
  <si>
    <t xml:space="preserve">Joules/Meter (newton) </t>
  </si>
  <si>
    <t>Grams (g)</t>
  </si>
  <si>
    <t>Pounds (avoirdupois)</t>
  </si>
  <si>
    <t>Slug</t>
  </si>
  <si>
    <t>Tonne</t>
  </si>
  <si>
    <t>Tons (long)</t>
  </si>
  <si>
    <t>Tons (metric)</t>
  </si>
  <si>
    <t>Tons (short)</t>
  </si>
  <si>
    <t xml:space="preserve">joules/cm </t>
  </si>
  <si>
    <t xml:space="preserve">joules/meter (newtons) </t>
  </si>
  <si>
    <t xml:space="preserve">Tons (short) </t>
  </si>
  <si>
    <t>Kilograms per Cubic Meter</t>
  </si>
  <si>
    <t>Pounds per Cubic Feet</t>
  </si>
  <si>
    <t>Pounds per Gallon (U.K. liquid)</t>
  </si>
  <si>
    <t>Pounds per Gallon (U.S. liquid)</t>
  </si>
  <si>
    <t xml:space="preserve">Kilograms/cu meter </t>
  </si>
  <si>
    <t xml:space="preserve">grams/cu cm </t>
  </si>
  <si>
    <t xml:space="preserve">Pound/cu Foot </t>
  </si>
  <si>
    <t xml:space="preserve">Pounds/cu Inch </t>
  </si>
  <si>
    <t xml:space="preserve">Pounds/mil-foot </t>
  </si>
  <si>
    <t xml:space="preserve">Pounds/sq Foot </t>
  </si>
  <si>
    <t xml:space="preserve">Pounds/sq Inch </t>
  </si>
  <si>
    <t xml:space="preserve">Kilograms/meter </t>
  </si>
  <si>
    <t xml:space="preserve">Pounds/Foot </t>
  </si>
  <si>
    <t>Kilograms/sq Centimeter</t>
  </si>
  <si>
    <t xml:space="preserve">Kilograms/sq cm </t>
  </si>
  <si>
    <t xml:space="preserve">Kilograms/sq mm </t>
  </si>
  <si>
    <t xml:space="preserve">Kgs/sq meter </t>
  </si>
  <si>
    <t>Kilograms-Force</t>
  </si>
  <si>
    <t xml:space="preserve">Kiloliters </t>
  </si>
  <si>
    <t xml:space="preserve">Kilometers </t>
  </si>
  <si>
    <t xml:space="preserve">Astronomical unit </t>
  </si>
  <si>
    <t xml:space="preserve">Centimeters </t>
  </si>
  <si>
    <t xml:space="preserve">Feet </t>
  </si>
  <si>
    <t xml:space="preserve">Inches </t>
  </si>
  <si>
    <t xml:space="preserve">Light year </t>
  </si>
  <si>
    <t xml:space="preserve">Meters </t>
  </si>
  <si>
    <t>Miles (U.S. statute)</t>
  </si>
  <si>
    <t xml:space="preserve">Millimeters </t>
  </si>
  <si>
    <t xml:space="preserve">Yards </t>
  </si>
  <si>
    <t>Kilometers per Hour</t>
  </si>
  <si>
    <t>Miles per Hour (U.S. statute)</t>
  </si>
  <si>
    <t xml:space="preserve">Centimeters/Hour/Seconds </t>
  </si>
  <si>
    <t>Kilopond</t>
  </si>
  <si>
    <t>lbs of water ^ from 62ø-212øF</t>
  </si>
  <si>
    <t>lbs of water evap. at 212øF</t>
  </si>
  <si>
    <t xml:space="preserve">Feet/Hour </t>
  </si>
  <si>
    <t xml:space="preserve">Nautical Miles/Hour </t>
  </si>
  <si>
    <t xml:space="preserve">Statute Miles/Hour </t>
  </si>
  <si>
    <t xml:space="preserve">Yards/Hour </t>
  </si>
  <si>
    <t>League</t>
  </si>
  <si>
    <t xml:space="preserve">Light-year </t>
  </si>
  <si>
    <t xml:space="preserve">Miles </t>
  </si>
  <si>
    <t xml:space="preserve">Links (engineer's) </t>
  </si>
  <si>
    <t xml:space="preserve">Links (surveyor's) </t>
  </si>
  <si>
    <t xml:space="preserve">Bushels (U.S. dry) </t>
  </si>
  <si>
    <t xml:space="preserve">Gallons (U.S. liq.) </t>
  </si>
  <si>
    <t xml:space="preserve">Pints (U.S. liq.) </t>
  </si>
  <si>
    <t xml:space="preserve">Quarts (U.S. liq.) </t>
  </si>
  <si>
    <t>Gallon (U.S. liquid) per Minute</t>
  </si>
  <si>
    <t xml:space="preserve">Liters/Minute </t>
  </si>
  <si>
    <t xml:space="preserve">Lumen </t>
  </si>
  <si>
    <t xml:space="preserve">Spherical Candle Power </t>
  </si>
  <si>
    <t xml:space="preserve">Watt </t>
  </si>
  <si>
    <t xml:space="preserve">Lumens/sq Foot </t>
  </si>
  <si>
    <t xml:space="preserve">Foot-Candles </t>
  </si>
  <si>
    <t xml:space="preserve">Lumen/sq Meter </t>
  </si>
  <si>
    <t xml:space="preserve">Lumens/Square Foot </t>
  </si>
  <si>
    <t xml:space="preserve">Lux </t>
  </si>
  <si>
    <t xml:space="preserve">Megohms </t>
  </si>
  <si>
    <t xml:space="preserve">Microhms </t>
  </si>
  <si>
    <t xml:space="preserve">Ohms </t>
  </si>
  <si>
    <t xml:space="preserve">Fathom </t>
  </si>
  <si>
    <t xml:space="preserve">Miles (nautical) </t>
  </si>
  <si>
    <t xml:space="preserve">Miles (statute) </t>
  </si>
  <si>
    <t>Meters/Hour</t>
  </si>
  <si>
    <t>Feet/Minute</t>
  </si>
  <si>
    <t>Meters/Minute</t>
  </si>
  <si>
    <t>Inches/Minute</t>
  </si>
  <si>
    <t xml:space="preserve">Meters/Seconds </t>
  </si>
  <si>
    <t xml:space="preserve">Kilometers/Minutes </t>
  </si>
  <si>
    <t xml:space="preserve">Micrograms </t>
  </si>
  <si>
    <t xml:space="preserve">Microliters </t>
  </si>
  <si>
    <t xml:space="preserve">Microns </t>
  </si>
  <si>
    <t xml:space="preserve">Knots/Minutes </t>
  </si>
  <si>
    <t xml:space="preserve">Milliers </t>
  </si>
  <si>
    <t xml:space="preserve">Milliliters </t>
  </si>
  <si>
    <t xml:space="preserve">Mils </t>
  </si>
  <si>
    <t>Millimeters/Minute</t>
  </si>
  <si>
    <t xml:space="preserve">Millimicrons </t>
  </si>
  <si>
    <t xml:space="preserve">Minutes </t>
  </si>
  <si>
    <t xml:space="preserve">Seconds </t>
  </si>
  <si>
    <t>Kilograms-force</t>
  </si>
  <si>
    <t>Ounces-Force</t>
  </si>
  <si>
    <t>Poundal</t>
  </si>
  <si>
    <t>Pounds-Force</t>
  </si>
  <si>
    <t>Newtons per Meter</t>
  </si>
  <si>
    <t>Pounds per Foot</t>
  </si>
  <si>
    <t>Pounds per Inch</t>
  </si>
  <si>
    <t xml:space="preserve">Ohm (international) </t>
  </si>
  <si>
    <t xml:space="preserve">Ohm (absolute) </t>
  </si>
  <si>
    <t xml:space="preserve">Pennyweights (troy) </t>
  </si>
  <si>
    <t xml:space="preserve">Pounds (troy) </t>
  </si>
  <si>
    <t xml:space="preserve">Ounces/sq Inch </t>
  </si>
  <si>
    <t xml:space="preserve">Parsec </t>
  </si>
  <si>
    <t xml:space="preserve">Pecks (British) </t>
  </si>
  <si>
    <t xml:space="preserve">Pecks (US) </t>
  </si>
  <si>
    <t xml:space="preserve">Pints (Brit.) </t>
  </si>
  <si>
    <t xml:space="preserve">Cubic centimeters </t>
  </si>
  <si>
    <t xml:space="preserve">Gallons (Brit.) </t>
  </si>
  <si>
    <t xml:space="preserve">Gills (Brit.) </t>
  </si>
  <si>
    <t xml:space="preserve">Ounces (Brit. fluid) </t>
  </si>
  <si>
    <t xml:space="preserve">Pints (US dry) </t>
  </si>
  <si>
    <t xml:space="preserve">Pints (US liquid) </t>
  </si>
  <si>
    <t xml:space="preserve">Quarts (US dry) </t>
  </si>
  <si>
    <t xml:space="preserve">Gills (US) </t>
  </si>
  <si>
    <t xml:space="preserve">Ounce (US fluid) </t>
  </si>
  <si>
    <t xml:space="preserve">Pints (Brit. liquid) </t>
  </si>
  <si>
    <t xml:space="preserve">Quarts (liquid) </t>
  </si>
  <si>
    <t xml:space="preserve">Stones (British) </t>
  </si>
  <si>
    <t xml:space="preserve">Pounds (avoirdupois) </t>
  </si>
  <si>
    <t xml:space="preserve">Pounds of water </t>
  </si>
  <si>
    <t xml:space="preserve">Pounds/cu Foot </t>
  </si>
  <si>
    <t xml:space="preserve">Kgs/cu meter </t>
  </si>
  <si>
    <t xml:space="preserve">gms/cu cm </t>
  </si>
  <si>
    <t xml:space="preserve">Revs./Seconds </t>
  </si>
  <si>
    <t xml:space="preserve">Revolutions/Minutes/Minutes </t>
  </si>
  <si>
    <t xml:space="preserve">Revs/Minutes/Minutes </t>
  </si>
  <si>
    <t xml:space="preserve">Revs/Seconds/Seconds </t>
  </si>
  <si>
    <t xml:space="preserve">Revs/Minutes </t>
  </si>
  <si>
    <t xml:space="preserve">Revolutions/Seconds/Seconds </t>
  </si>
  <si>
    <t xml:space="preserve">radians/Seconds/Seconds </t>
  </si>
  <si>
    <t xml:space="preserve">Revs/Minutes/Seconds </t>
  </si>
  <si>
    <t xml:space="preserve">Rod </t>
  </si>
  <si>
    <t xml:space="preserve">Chain (Gunter's) </t>
  </si>
  <si>
    <t xml:space="preserve">Rods </t>
  </si>
  <si>
    <t xml:space="preserve">Rods (surveyor's meas.) </t>
  </si>
  <si>
    <t xml:space="preserve">Slug </t>
  </si>
  <si>
    <t xml:space="preserve">Kilogram </t>
  </si>
  <si>
    <t xml:space="preserve">Span </t>
  </si>
  <si>
    <t xml:space="preserve">Inch </t>
  </si>
  <si>
    <t xml:space="preserve">Square centimeters </t>
  </si>
  <si>
    <t xml:space="preserve">Square Millimeters </t>
  </si>
  <si>
    <t xml:space="preserve">Square Kilometers </t>
  </si>
  <si>
    <t xml:space="preserve">Square kms </t>
  </si>
  <si>
    <t xml:space="preserve">Stone (British) </t>
  </si>
  <si>
    <t xml:space="preserve">Pound (avoirdupois) </t>
  </si>
  <si>
    <t xml:space="preserve">Tablespoons (metric) </t>
  </si>
  <si>
    <t xml:space="preserve">Milliliter </t>
  </si>
  <si>
    <t xml:space="preserve">Tablespoons (US) </t>
  </si>
  <si>
    <t xml:space="preserve">Teaspoons (metric) </t>
  </si>
  <si>
    <t xml:space="preserve">Teaspoons (US) </t>
  </si>
  <si>
    <t>Tons (long 2000 lb)</t>
  </si>
  <si>
    <t>Tons (long 2240 lb)</t>
  </si>
  <si>
    <t xml:space="preserve">Tons (short)/sq Foot </t>
  </si>
  <si>
    <t xml:space="preserve">Tons of water/24 Hours </t>
  </si>
  <si>
    <t xml:space="preserve">Pounds of water/Hour </t>
  </si>
  <si>
    <t xml:space="preserve">Volt (absolute) </t>
  </si>
  <si>
    <t xml:space="preserve">StatVolts </t>
  </si>
  <si>
    <t xml:space="preserve">Volt Inch </t>
  </si>
  <si>
    <t xml:space="preserve">Volt/Centimeters </t>
  </si>
  <si>
    <t xml:space="preserve">Watt (international) </t>
  </si>
  <si>
    <t xml:space="preserve">Watt (absolute) </t>
  </si>
  <si>
    <t xml:space="preserve">kiloram-meters </t>
  </si>
  <si>
    <t xml:space="preserve">Erg/Second </t>
  </si>
  <si>
    <t xml:space="preserve">Watts (absolute) </t>
  </si>
  <si>
    <t xml:space="preserve">BTU (mean)/Minute </t>
  </si>
  <si>
    <t xml:space="preserve">Joules/Second </t>
  </si>
  <si>
    <t xml:space="preserve">Week </t>
  </si>
  <si>
    <t xml:space="preserve">Day </t>
  </si>
  <si>
    <t xml:space="preserve">Hour </t>
  </si>
  <si>
    <t xml:space="preserve">Minute (time) </t>
  </si>
  <si>
    <t xml:space="preserve">Month </t>
  </si>
  <si>
    <t xml:space="preserve">Second </t>
  </si>
  <si>
    <t xml:space="preserve">fathom </t>
  </si>
  <si>
    <t xml:space="preserve">Foot </t>
  </si>
  <si>
    <t>Year (mean of 4 Year period)</t>
  </si>
  <si>
    <t xml:space="preserve">Minute </t>
  </si>
  <si>
    <t>Note:</t>
  </si>
  <si>
    <t>This will not work</t>
  </si>
  <si>
    <t>with Pipe Taps</t>
  </si>
  <si>
    <t>Square Feet (US Survey)</t>
  </si>
  <si>
    <t>Square Kilometers</t>
  </si>
  <si>
    <t>Cups</t>
  </si>
  <si>
    <t>Drops</t>
  </si>
  <si>
    <t>Gills</t>
  </si>
  <si>
    <t>Ounces (U.S. fluid)</t>
  </si>
  <si>
    <t>Teaspoons (US)</t>
  </si>
  <si>
    <t>Pints</t>
  </si>
  <si>
    <t>Rounded</t>
  </si>
  <si>
    <t>Precision =</t>
  </si>
  <si>
    <t>from Bolt CircleCenter</t>
  </si>
  <si>
    <r>
      <t xml:space="preserve">or </t>
    </r>
    <r>
      <rPr>
        <b/>
        <u val="single"/>
        <sz val="12"/>
        <rFont val="Arial"/>
        <family val="2"/>
      </rPr>
      <t>Absolute</t>
    </r>
  </si>
  <si>
    <t>Spiral Offset</t>
  </si>
  <si>
    <t>Number of</t>
  </si>
  <si>
    <t>Revolutions</t>
  </si>
  <si>
    <t>Spiral Calculator</t>
  </si>
  <si>
    <t xml:space="preserve">Degrees = </t>
  </si>
  <si>
    <t>Per Rev =</t>
  </si>
  <si>
    <t>Per Hole =</t>
  </si>
  <si>
    <t>Enter First X &amp; Y</t>
  </si>
  <si>
    <t>Coordinates</t>
  </si>
  <si>
    <t>Seperation Per Hole</t>
  </si>
  <si>
    <t>Revolutions =</t>
  </si>
  <si>
    <t>X= +</t>
  </si>
  <si>
    <t>Y= +</t>
  </si>
  <si>
    <t>Y= -</t>
  </si>
  <si>
    <t>Rotation</t>
  </si>
  <si>
    <t>Spiral</t>
  </si>
  <si>
    <t>Name</t>
  </si>
  <si>
    <t>Systolic</t>
  </si>
  <si>
    <t>= maximum pressure in blood vessels when heart beats.</t>
  </si>
  <si>
    <t>over</t>
  </si>
  <si>
    <t>Blood Pressure</t>
  </si>
  <si>
    <t>Diastolic</t>
  </si>
  <si>
    <t>= minimum pressure in blood vessels between beats.</t>
  </si>
  <si>
    <t>Date</t>
  </si>
  <si>
    <t>Time</t>
  </si>
  <si>
    <t>Pulse</t>
  </si>
  <si>
    <t>Min</t>
  </si>
  <si>
    <t>Max</t>
  </si>
  <si>
    <t>Normal</t>
  </si>
  <si>
    <t>139 or less</t>
  </si>
  <si>
    <t>89 or less</t>
  </si>
  <si>
    <t>Range</t>
  </si>
  <si>
    <t>Borderline</t>
  </si>
  <si>
    <t>140 to 159</t>
  </si>
  <si>
    <t>90 to 94</t>
  </si>
  <si>
    <t>Pressure</t>
  </si>
  <si>
    <t>Average</t>
  </si>
  <si>
    <t>High</t>
  </si>
  <si>
    <t>160 or more</t>
  </si>
  <si>
    <t>95 or more</t>
  </si>
  <si>
    <t>Std. Deviation</t>
  </si>
  <si>
    <t>Pulse Pressure = Systolic BP (Avg.) - Diastolic BP (Avg.)</t>
  </si>
  <si>
    <t>Avg. Pulse</t>
  </si>
  <si>
    <t>Power</t>
  </si>
  <si>
    <t>Dynamic Viscosity</t>
  </si>
  <si>
    <t>Heat Flux</t>
  </si>
  <si>
    <t>mile</t>
  </si>
  <si>
    <t>MMscf / hr</t>
  </si>
  <si>
    <t>psi</t>
  </si>
  <si>
    <t>hp</t>
  </si>
  <si>
    <t>hp . hr</t>
  </si>
  <si>
    <t>Long Ton</t>
  </si>
  <si>
    <t>centipoise</t>
  </si>
  <si>
    <t>centistoke</t>
  </si>
  <si>
    <t>lb / sec</t>
  </si>
  <si>
    <t>Btu / hr . ft . F</t>
  </si>
  <si>
    <t>Btu / lb</t>
  </si>
  <si>
    <t>Btu / lb . F</t>
  </si>
  <si>
    <t>yard</t>
  </si>
  <si>
    <t>bbl</t>
  </si>
  <si>
    <t>MMscf / day</t>
  </si>
  <si>
    <t>in Hg</t>
  </si>
  <si>
    <t>hp  (metric)</t>
  </si>
  <si>
    <t>Btu</t>
  </si>
  <si>
    <t>Short Ton</t>
  </si>
  <si>
    <t>gr / ml</t>
  </si>
  <si>
    <t>poise</t>
  </si>
  <si>
    <t>stoke</t>
  </si>
  <si>
    <t>lb / min</t>
  </si>
  <si>
    <t>cal / sec . cm . C</t>
  </si>
  <si>
    <t>cal / gr</t>
  </si>
  <si>
    <t>cal / gr . C</t>
  </si>
  <si>
    <t>Volume</t>
  </si>
  <si>
    <t>Energy</t>
  </si>
  <si>
    <t>Kinematic Viscosity</t>
  </si>
  <si>
    <t>Specific Energy</t>
  </si>
  <si>
    <t>ft</t>
  </si>
  <si>
    <t>Mscf / hr</t>
  </si>
  <si>
    <t>mm Hg</t>
  </si>
  <si>
    <t>ton  (refrig.)</t>
  </si>
  <si>
    <t>Metric Ton</t>
  </si>
  <si>
    <t>gr / lit</t>
  </si>
  <si>
    <t>Pa . sec</t>
  </si>
  <si>
    <t>lb / hr</t>
  </si>
  <si>
    <t>watt / cm . C</t>
  </si>
  <si>
    <t>joule / gr</t>
  </si>
  <si>
    <t>joule / gr . C</t>
  </si>
  <si>
    <t>in</t>
  </si>
  <si>
    <t>gal  (Imperial)</t>
  </si>
  <si>
    <t>Mscf / day</t>
  </si>
  <si>
    <t>bbl / hr</t>
  </si>
  <si>
    <t>Btu / min</t>
  </si>
  <si>
    <t>kW .  hr</t>
  </si>
  <si>
    <t>lb</t>
  </si>
  <si>
    <t>gr / gal</t>
  </si>
  <si>
    <t>lb / ft . hr</t>
  </si>
  <si>
    <t>lb / day</t>
  </si>
  <si>
    <t>kcal / hr . m . C</t>
  </si>
  <si>
    <t>cal / kg</t>
  </si>
  <si>
    <t>cal / kg . C</t>
  </si>
  <si>
    <t>km</t>
  </si>
  <si>
    <t>gal  (US)</t>
  </si>
  <si>
    <t>lb-mol / hr</t>
  </si>
  <si>
    <t>bbl / day</t>
  </si>
  <si>
    <t>Btu / hr</t>
  </si>
  <si>
    <t>Cal</t>
  </si>
  <si>
    <t>oz</t>
  </si>
  <si>
    <t>lb / ft . sec</t>
  </si>
  <si>
    <t>kg / sec</t>
  </si>
  <si>
    <t>watt / m . C</t>
  </si>
  <si>
    <t>joule / kg</t>
  </si>
  <si>
    <t>joule / kg . C</t>
  </si>
  <si>
    <t xml:space="preserve">m </t>
  </si>
  <si>
    <t>fl. oz</t>
  </si>
  <si>
    <t>lb-mol / day</t>
  </si>
  <si>
    <t>gal / min</t>
  </si>
  <si>
    <t>torr</t>
  </si>
  <si>
    <t>kW</t>
  </si>
  <si>
    <t>kCal</t>
  </si>
  <si>
    <t>kg</t>
  </si>
  <si>
    <t>kg / min</t>
  </si>
  <si>
    <t>Molar Flowrate</t>
  </si>
  <si>
    <t>Mass</t>
  </si>
  <si>
    <t>Mass Flowrate</t>
  </si>
  <si>
    <t>Specific Heat</t>
  </si>
  <si>
    <t>cm</t>
  </si>
  <si>
    <t>g-mol / hr</t>
  </si>
  <si>
    <t>gal / day</t>
  </si>
  <si>
    <t>atm</t>
  </si>
  <si>
    <t>Cal / sec</t>
  </si>
  <si>
    <t>joule</t>
  </si>
  <si>
    <t>gr</t>
  </si>
  <si>
    <t>kg / hr</t>
  </si>
  <si>
    <t>g-mol / day</t>
  </si>
  <si>
    <t>bar</t>
  </si>
  <si>
    <t>Cal / min</t>
  </si>
  <si>
    <t>W . sec</t>
  </si>
  <si>
    <t>mg</t>
  </si>
  <si>
    <t>lb / gal</t>
  </si>
  <si>
    <t>gr / cm . sec</t>
  </si>
  <si>
    <t>kg / day</t>
  </si>
  <si>
    <t>micron</t>
  </si>
  <si>
    <t>lit</t>
  </si>
  <si>
    <t>mbar</t>
  </si>
  <si>
    <t>Watt</t>
  </si>
  <si>
    <t>grain</t>
  </si>
  <si>
    <t>hectare</t>
  </si>
  <si>
    <t>lb / bbl</t>
  </si>
  <si>
    <t>kg / m . hr</t>
  </si>
  <si>
    <t>L ton / day</t>
  </si>
  <si>
    <t>Joule / sec</t>
  </si>
  <si>
    <t>lit . atm</t>
  </si>
  <si>
    <t>carat</t>
  </si>
  <si>
    <t>are</t>
  </si>
  <si>
    <t>S ton / day</t>
  </si>
  <si>
    <t>Volumetric Flowrate</t>
  </si>
  <si>
    <t>Density</t>
  </si>
  <si>
    <t>Heat Transfer Coefficient</t>
  </si>
  <si>
    <t>ml</t>
  </si>
  <si>
    <t>lit / sec</t>
  </si>
  <si>
    <t>kPa</t>
  </si>
  <si>
    <t>slug</t>
  </si>
  <si>
    <t>acre</t>
  </si>
  <si>
    <t>oz / gal</t>
  </si>
  <si>
    <t>M ton / day</t>
  </si>
  <si>
    <t>lit / min</t>
  </si>
  <si>
    <t>Pa</t>
  </si>
  <si>
    <t>SG  (liquid)</t>
  </si>
  <si>
    <t>lit / hr</t>
  </si>
  <si>
    <t>lit / day</t>
  </si>
  <si>
    <t>Area</t>
  </si>
  <si>
    <t>Thermal Conductivity</t>
  </si>
  <si>
    <t>PROCESS ENGINEERING TOOLKIT</t>
  </si>
  <si>
    <t>PROCESS &amp; CONTROL SYSTEMS DEPT.</t>
  </si>
  <si>
    <t>UPSTREAM PROCESS ENGINEERING</t>
  </si>
  <si>
    <t>UNIT CONVERSION PROGRAM</t>
  </si>
  <si>
    <t>Please contact mehryar.beyk@aramco.com if you have any suggestions to improve this program.</t>
  </si>
  <si>
    <r>
      <t xml:space="preserve">yard </t>
    </r>
    <r>
      <rPr>
        <vertAlign val="superscript"/>
        <sz val="8"/>
        <color indexed="9"/>
        <rFont val="Arial"/>
        <family val="2"/>
      </rPr>
      <t>3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</si>
  <si>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sec</t>
    </r>
  </si>
  <si>
    <r>
      <t>ft</t>
    </r>
    <r>
      <rPr>
        <vertAlign val="superscript"/>
        <sz val="8"/>
        <color indexed="9"/>
        <rFont val="Arial"/>
        <family val="2"/>
      </rPr>
      <t>2</t>
    </r>
  </si>
  <si>
    <r>
      <t>gr / cm</t>
    </r>
    <r>
      <rPr>
        <vertAlign val="superscript"/>
        <sz val="8"/>
        <color indexed="9"/>
        <rFont val="Arial"/>
        <family val="2"/>
      </rPr>
      <t>3</t>
    </r>
  </si>
  <si>
    <r>
      <t>Btu / hr . ft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F</t>
    </r>
  </si>
  <si>
    <r>
      <t>Btu / hr . ft</t>
    </r>
    <r>
      <rPr>
        <vertAlign val="superscript"/>
        <sz val="8"/>
        <color indexed="9"/>
        <rFont val="Arial"/>
        <family val="2"/>
      </rPr>
      <t>2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</si>
  <si>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min</t>
    </r>
  </si>
  <si>
    <r>
      <t>in</t>
    </r>
    <r>
      <rPr>
        <vertAlign val="superscript"/>
        <sz val="8"/>
        <color indexed="9"/>
        <rFont val="Arial"/>
        <family val="2"/>
      </rPr>
      <t>2</t>
    </r>
  </si>
  <si>
    <r>
      <t>cal / sec . cm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</si>
  <si>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cal / sec . cm</t>
    </r>
    <r>
      <rPr>
        <vertAlign val="superscript"/>
        <sz val="8"/>
        <color indexed="9"/>
        <rFont val="Arial"/>
        <family val="2"/>
      </rPr>
      <t>2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</si>
  <si>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</si>
  <si>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hr</t>
    </r>
  </si>
  <si>
    <r>
      <t>ft . lb</t>
    </r>
    <r>
      <rPr>
        <vertAlign val="subscript"/>
        <sz val="8"/>
        <color indexed="9"/>
        <rFont val="Arial"/>
        <family val="2"/>
      </rPr>
      <t>f</t>
    </r>
  </si>
  <si>
    <r>
      <t xml:space="preserve">yard </t>
    </r>
    <r>
      <rPr>
        <vertAlign val="superscript"/>
        <sz val="8"/>
        <color indexed="9"/>
        <rFont val="Arial"/>
        <family val="2"/>
      </rPr>
      <t>2</t>
    </r>
  </si>
  <si>
    <r>
      <t>ft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sec</t>
    </r>
  </si>
  <si>
    <r>
      <t>watt / cm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</si>
  <si>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watt / cm</t>
    </r>
    <r>
      <rPr>
        <vertAlign val="superscript"/>
        <sz val="8"/>
        <color indexed="9"/>
        <rFont val="Arial"/>
        <family val="2"/>
      </rPr>
      <t>2</t>
    </r>
  </si>
  <si>
    <r>
      <t>ft H</t>
    </r>
    <r>
      <rPr>
        <vertAlign val="sub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>O</t>
    </r>
  </si>
  <si>
    <r>
      <t xml:space="preserve">mile </t>
    </r>
    <r>
      <rPr>
        <vertAlign val="superscript"/>
        <sz val="8"/>
        <color indexed="9"/>
        <rFont val="Arial"/>
        <family val="2"/>
      </rPr>
      <t>2</t>
    </r>
  </si>
  <si>
    <r>
      <t>ft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hr</t>
    </r>
  </si>
  <si>
    <r>
      <t>kcal / hr . 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</si>
  <si>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kcal / hr . m</t>
    </r>
    <r>
      <rPr>
        <vertAlign val="superscript"/>
        <sz val="8"/>
        <color indexed="9"/>
        <rFont val="Arial"/>
        <family val="2"/>
      </rPr>
      <t>2</t>
    </r>
  </si>
  <si>
    <r>
      <t>in H</t>
    </r>
    <r>
      <rPr>
        <vertAlign val="sub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>O</t>
    </r>
  </si>
  <si>
    <r>
      <t>mm</t>
    </r>
    <r>
      <rPr>
        <vertAlign val="superscript"/>
        <sz val="8"/>
        <color indexed="9"/>
        <rFont val="Arial"/>
        <family val="2"/>
      </rPr>
      <t>2</t>
    </r>
  </si>
  <si>
    <r>
      <t>kg / m</t>
    </r>
    <r>
      <rPr>
        <vertAlign val="superscript"/>
        <sz val="8"/>
        <color indexed="9"/>
        <rFont val="Arial"/>
        <family val="2"/>
      </rPr>
      <t>3</t>
    </r>
  </si>
  <si>
    <r>
      <t>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sec</t>
    </r>
  </si>
  <si>
    <r>
      <t>watt / 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</si>
  <si>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watt / m</t>
    </r>
    <r>
      <rPr>
        <vertAlign val="superscript"/>
        <sz val="8"/>
        <color indexed="9"/>
        <rFont val="Arial"/>
        <family val="2"/>
      </rPr>
      <t>2</t>
    </r>
  </si>
  <si>
    <r>
      <t>cm</t>
    </r>
    <r>
      <rPr>
        <vertAlign val="superscript"/>
        <sz val="8"/>
        <color indexed="9"/>
        <rFont val="Arial"/>
        <family val="2"/>
      </rPr>
      <t>2</t>
    </r>
  </si>
  <si>
    <r>
      <t>lb / in</t>
    </r>
    <r>
      <rPr>
        <vertAlign val="superscript"/>
        <sz val="8"/>
        <color indexed="9"/>
        <rFont val="Arial"/>
        <family val="2"/>
      </rPr>
      <t>3</t>
    </r>
  </si>
  <si>
    <r>
      <t>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. sec / ft2</t>
    </r>
  </si>
  <si>
    <r>
      <t>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hr</t>
    </r>
  </si>
  <si>
    <r>
      <t xml:space="preserve">in </t>
    </r>
    <r>
      <rPr>
        <vertAlign val="superscript"/>
        <sz val="8"/>
        <color indexed="9"/>
        <rFont val="Arial"/>
        <family val="2"/>
      </rPr>
      <t>3</t>
    </r>
  </si>
  <si>
    <r>
      <t>m</t>
    </r>
    <r>
      <rPr>
        <vertAlign val="superscript"/>
        <sz val="8"/>
        <color indexed="9"/>
        <rFont val="Arial"/>
        <family val="2"/>
      </rPr>
      <t>2</t>
    </r>
  </si>
  <si>
    <r>
      <t>lb / ft</t>
    </r>
    <r>
      <rPr>
        <vertAlign val="superscript"/>
        <sz val="8"/>
        <color indexed="9"/>
        <rFont val="Arial"/>
        <family val="2"/>
      </rPr>
      <t>3</t>
    </r>
  </si>
  <si>
    <r>
      <t>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. sec / in2</t>
    </r>
  </si>
  <si>
    <r>
      <t>cm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sec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</si>
  <si>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</si>
  <si>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sec</t>
    </r>
  </si>
  <si>
    <r>
      <t>km</t>
    </r>
    <r>
      <rPr>
        <vertAlign val="superscript"/>
        <sz val="8"/>
        <color indexed="9"/>
        <rFont val="Arial"/>
        <family val="2"/>
      </rPr>
      <t>2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</si>
  <si>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min</t>
    </r>
  </si>
  <si>
    <r>
      <t>ft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. 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/ in</t>
    </r>
    <r>
      <rPr>
        <vertAlign val="superscript"/>
        <sz val="8"/>
        <color indexed="9"/>
        <rFont val="Arial"/>
        <family val="2"/>
      </rPr>
      <t>2</t>
    </r>
  </si>
  <si>
    <r>
      <t xml:space="preserve">cm </t>
    </r>
    <r>
      <rPr>
        <vertAlign val="superscript"/>
        <sz val="8"/>
        <color indexed="9"/>
        <rFont val="Arial"/>
        <family val="2"/>
      </rPr>
      <t>3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</si>
  <si>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hr</t>
    </r>
  </si>
  <si>
    <r>
      <t>kg / cm</t>
    </r>
    <r>
      <rPr>
        <vertAlign val="superscript"/>
        <sz val="8"/>
        <color indexed="9"/>
        <rFont val="Arial"/>
        <family val="2"/>
      </rPr>
      <t>2</t>
    </r>
  </si>
  <si>
    <r>
      <t>oz / in</t>
    </r>
    <r>
      <rPr>
        <vertAlign val="superscript"/>
        <sz val="8"/>
        <color indexed="9"/>
        <rFont val="Arial"/>
        <family val="2"/>
      </rPr>
      <t>3</t>
    </r>
  </si>
  <si>
    <r>
      <t>ft . 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/ sec</t>
    </r>
  </si>
  <si>
    <r>
      <t>ft . 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/ min</t>
    </r>
  </si>
  <si>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</si>
  <si>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</si>
  <si>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</si>
  <si>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</si>
  <si>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</si>
  <si>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</si>
  <si>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</si>
  <si>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</si>
  <si>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</si>
  <si>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</si>
  <si>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</si>
  <si>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</si>
  <si>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Enter year for calendar:</t>
  </si>
  <si>
    <t>CHANGE THE YEAR HERE</t>
  </si>
  <si>
    <t>(1900  -  2078)</t>
  </si>
  <si>
    <t>CALENDER FOR</t>
  </si>
  <si>
    <t>JANUARY</t>
  </si>
  <si>
    <t>FEBRUARY</t>
  </si>
  <si>
    <t>MARCH</t>
  </si>
  <si>
    <t>WK</t>
  </si>
  <si>
    <t>SUN</t>
  </si>
  <si>
    <t>MON</t>
  </si>
  <si>
    <t>TUE</t>
  </si>
  <si>
    <t>WED</t>
  </si>
  <si>
    <t>THU</t>
  </si>
  <si>
    <t>FRI</t>
  </si>
  <si>
    <t>SAT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</si>
  <si>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</si>
  <si>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</si>
  <si>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</si>
  <si>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</si>
  <si>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</si>
  <si>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</si>
  <si>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</si>
  <si>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</si>
  <si>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</si>
  <si>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23/32</t>
  </si>
  <si>
    <t>1-11/32</t>
  </si>
  <si>
    <t>Q</t>
  </si>
  <si>
    <t>47/64</t>
  </si>
  <si>
    <t>13/64</t>
  </si>
  <si>
    <t>1-23/64</t>
  </si>
  <si>
    <t>3/4</t>
  </si>
  <si>
    <t>1-3/8</t>
  </si>
  <si>
    <t>R</t>
  </si>
  <si>
    <t>49/64</t>
  </si>
  <si>
    <t>1-25/64</t>
  </si>
  <si>
    <t>11/32</t>
  </si>
  <si>
    <t>25/32</t>
  </si>
  <si>
    <t>1-13/32</t>
  </si>
  <si>
    <t>51/64</t>
  </si>
  <si>
    <t>S</t>
  </si>
  <si>
    <t>1-27/64</t>
  </si>
  <si>
    <t>13/16</t>
  </si>
  <si>
    <t>1-7/16</t>
  </si>
  <si>
    <t>7/64</t>
  </si>
  <si>
    <t>7/32</t>
  </si>
  <si>
    <t>T</t>
  </si>
  <si>
    <t>53/64</t>
  </si>
  <si>
    <t>1-29/64</t>
  </si>
  <si>
    <t>27/32</t>
  </si>
  <si>
    <t>23/64</t>
  </si>
  <si>
    <t>1-15/32</t>
  </si>
  <si>
    <t>55/64</t>
  </si>
  <si>
    <t>1-31/64</t>
  </si>
  <si>
    <t>7/8</t>
  </si>
  <si>
    <t>U</t>
  </si>
  <si>
    <t>1-1/2</t>
  </si>
  <si>
    <t>57/64</t>
  </si>
  <si>
    <t>1-33/64</t>
  </si>
  <si>
    <t>A</t>
  </si>
  <si>
    <t>1/64</t>
  </si>
  <si>
    <t>1/32</t>
  </si>
  <si>
    <t>Bolt Circle Calculator</t>
  </si>
  <si>
    <t>Hole #</t>
  </si>
  <si>
    <t xml:space="preserve">X = </t>
  </si>
  <si>
    <t xml:space="preserve">Y = </t>
  </si>
  <si>
    <t>Enter First X &amp; Y as</t>
  </si>
  <si>
    <t>Incremental</t>
  </si>
  <si>
    <t xml:space="preserve">First X = </t>
  </si>
  <si>
    <t xml:space="preserve">First Y = </t>
  </si>
  <si>
    <t xml:space="preserve"># of Holes = </t>
  </si>
  <si>
    <t>Absolute</t>
  </si>
  <si>
    <t>Bolt Circle Center</t>
  </si>
  <si>
    <t>X Center =</t>
  </si>
  <si>
    <t>Y Center =</t>
  </si>
  <si>
    <t>The calculated</t>
  </si>
  <si>
    <t>coordinates are</t>
  </si>
  <si>
    <t>ABSOLUTE.</t>
  </si>
  <si>
    <t xml:space="preserve"> Each hole is apart by:</t>
  </si>
  <si>
    <t>Rotation of an " X &amp; Y " coordinate</t>
  </si>
  <si>
    <t>A negative Angle of Rotation is equal to a counter clockwise rotation</t>
  </si>
  <si>
    <t xml:space="preserve">Original X = </t>
  </si>
  <si>
    <t>Move</t>
  </si>
  <si>
    <t>New X</t>
  </si>
  <si>
    <t>New Y</t>
  </si>
  <si>
    <t xml:space="preserve">Original Y = </t>
  </si>
  <si>
    <t xml:space="preserve">Angle of Rotation (in degrees)  = </t>
  </si>
  <si>
    <t xml:space="preserve">Number of times rotated = </t>
  </si>
  <si>
    <t>15 max.</t>
  </si>
  <si>
    <t xml:space="preserve">Rotating Axis Absolute X Center = </t>
  </si>
  <si>
    <t xml:space="preserve">Rotating Axis Absolute Y Center = </t>
  </si>
  <si>
    <t xml:space="preserve">  -  X  +</t>
  </si>
  <si>
    <t>NOTE:</t>
  </si>
  <si>
    <t>The Original X &amp; Y</t>
  </si>
  <si>
    <t xml:space="preserve">X= -     </t>
  </si>
  <si>
    <t xml:space="preserve">        X= +</t>
  </si>
  <si>
    <t>should be entered</t>
  </si>
  <si>
    <t xml:space="preserve">+ </t>
  </si>
  <si>
    <t xml:space="preserve">Y= +    </t>
  </si>
  <si>
    <t xml:space="preserve">        Y= +</t>
  </si>
  <si>
    <t xml:space="preserve"> +</t>
  </si>
  <si>
    <t>as INCREMENTAL,</t>
  </si>
  <si>
    <t xml:space="preserve">Y </t>
  </si>
  <si>
    <t xml:space="preserve"> Y</t>
  </si>
  <si>
    <t>taken from the</t>
  </si>
  <si>
    <t xml:space="preserve">- </t>
  </si>
  <si>
    <t xml:space="preserve"> -</t>
  </si>
  <si>
    <t>center of the</t>
  </si>
  <si>
    <t xml:space="preserve">Y= -     </t>
  </si>
  <si>
    <t xml:space="preserve">        Y= -</t>
  </si>
  <si>
    <t>rotating axis.</t>
  </si>
  <si>
    <t>The New X &amp; Y will</t>
  </si>
  <si>
    <t>be ABSOLUTE.</t>
  </si>
  <si>
    <t>CONE FABRICATION</t>
  </si>
  <si>
    <t>This will help you to layout a cone on a flat surface.</t>
  </si>
  <si>
    <t>NOTE: This does not allow for material thickness.</t>
  </si>
  <si>
    <t>Inside</t>
  </si>
  <si>
    <t>Outside</t>
  </si>
  <si>
    <t>Segment</t>
  </si>
  <si>
    <t>Cone</t>
  </si>
  <si>
    <t>Radius</t>
  </si>
  <si>
    <t>Angle</t>
  </si>
  <si>
    <t>Width</t>
  </si>
  <si>
    <t>Length</t>
  </si>
  <si>
    <t>Inside Diameter</t>
  </si>
  <si>
    <t>Outside Diameter</t>
  </si>
  <si>
    <t>Cone Angle</t>
  </si>
  <si>
    <t>Cone Length</t>
  </si>
  <si>
    <t>Segment Width</t>
  </si>
  <si>
    <t>Degrees in Cone Segment</t>
  </si>
  <si>
    <t>Overlap in Degrees</t>
  </si>
  <si>
    <t>Circle Segment Calculator</t>
  </si>
  <si>
    <t>Enter TWO knowns</t>
  </si>
  <si>
    <t>h</t>
  </si>
  <si>
    <t>r</t>
  </si>
  <si>
    <t>Angle in degrees</t>
  </si>
  <si>
    <t xml:space="preserve">a= </t>
  </si>
  <si>
    <t>Chord Length</t>
  </si>
  <si>
    <t xml:space="preserve">c= </t>
  </si>
  <si>
    <t>Height</t>
  </si>
  <si>
    <t xml:space="preserve">h= </t>
  </si>
  <si>
    <t xml:space="preserve">r= </t>
  </si>
  <si>
    <t>Polygon Solver</t>
  </si>
  <si>
    <t>Must enter NUMBER OF EQUAL SIDES and one other</t>
  </si>
  <si>
    <t>IC</t>
  </si>
  <si>
    <t>OC</t>
  </si>
  <si>
    <t>Number of Equal Sides</t>
  </si>
  <si>
    <t xml:space="preserve">ES= </t>
  </si>
  <si>
    <t>Inner Circle Diameter</t>
  </si>
  <si>
    <t xml:space="preserve">IC= </t>
  </si>
  <si>
    <t>Outer Circle Diameter</t>
  </si>
  <si>
    <t xml:space="preserve">OC= </t>
  </si>
  <si>
    <t>Although a square is drawn, this will</t>
  </si>
  <si>
    <t>work with 3 equal sides and greater.</t>
  </si>
  <si>
    <t>Values of a Trigonometric Function</t>
  </si>
  <si>
    <t>You can enter DEGREES as a decimal and it will be converted to DEG,MIN,SEC.</t>
  </si>
  <si>
    <t xml:space="preserve">Sine = </t>
  </si>
  <si>
    <t xml:space="preserve">Cosine = </t>
  </si>
  <si>
    <t xml:space="preserve">Tangent = </t>
  </si>
  <si>
    <t>Total</t>
  </si>
  <si>
    <t xml:space="preserve">Cotangent = </t>
  </si>
  <si>
    <t>Sine bar length =</t>
  </si>
  <si>
    <t>millimeters</t>
  </si>
  <si>
    <t xml:space="preserve">Secant = </t>
  </si>
  <si>
    <t>NOTE: Enter the sine bar length above.</t>
  </si>
  <si>
    <t xml:space="preserve">Cosecant = </t>
  </si>
  <si>
    <t>The required height needed under one end</t>
  </si>
  <si>
    <t>of the sine bar to obtain the desired angle.</t>
  </si>
  <si>
    <t xml:space="preserve">Radians = </t>
  </si>
  <si>
    <t>Complete Listing</t>
  </si>
  <si>
    <t>Info from Decimal Selection</t>
  </si>
  <si>
    <t>From                        To</t>
  </si>
  <si>
    <t>Multiplier</t>
  </si>
  <si>
    <t>Offset from Look Up Data</t>
  </si>
  <si>
    <t>Abampere</t>
  </si>
  <si>
    <t>Ampere</t>
  </si>
  <si>
    <t>Faradays/sec (chem)</t>
  </si>
  <si>
    <t>Number &amp; Letter</t>
  </si>
  <si>
    <t>Statamperes</t>
  </si>
  <si>
    <t>Metric (mm)</t>
  </si>
  <si>
    <t>Abcoulomb</t>
  </si>
  <si>
    <t>Ampere - hours</t>
  </si>
  <si>
    <t xml:space="preserve">Coulomb </t>
  </si>
  <si>
    <t>Info from Fraction Selection</t>
  </si>
  <si>
    <t>Electronic charges</t>
  </si>
  <si>
    <t>Faradays (chem)</t>
  </si>
  <si>
    <t>Statcoulombs</t>
  </si>
  <si>
    <t>Abfarads</t>
  </si>
  <si>
    <t>Farads</t>
  </si>
  <si>
    <t>Info from Letter Selection</t>
  </si>
  <si>
    <t>Microfarads</t>
  </si>
  <si>
    <t>Statfarads</t>
  </si>
  <si>
    <t>Abhenries</t>
  </si>
  <si>
    <t>Henries</t>
  </si>
  <si>
    <t xml:space="preserve">Hectare or Square hectometer </t>
  </si>
  <si>
    <t>Info from Number Selection</t>
  </si>
  <si>
    <t xml:space="preserve">Square Chain (Gunter's) </t>
  </si>
  <si>
    <t xml:space="preserve">Square Links (Gunter's) </t>
  </si>
  <si>
    <t xml:space="preserve">Square Rods </t>
  </si>
  <si>
    <t>Acre-Feet</t>
  </si>
  <si>
    <t xml:space="preserve">Cubic Feet </t>
  </si>
  <si>
    <t>Info from Millimeters Selection</t>
  </si>
  <si>
    <t>Acres</t>
  </si>
  <si>
    <t xml:space="preserve">Square Feet </t>
  </si>
  <si>
    <t xml:space="preserve">Acres </t>
  </si>
  <si>
    <t xml:space="preserve">Square Meters </t>
  </si>
  <si>
    <t xml:space="preserve">Square Miles </t>
  </si>
  <si>
    <t xml:space="preserve">Square Yards </t>
  </si>
  <si>
    <t xml:space="preserve">Ampere-hours </t>
  </si>
  <si>
    <t xml:space="preserve">Coulombs </t>
  </si>
  <si>
    <t>Info from Convert Sheet</t>
  </si>
  <si>
    <t xml:space="preserve">Faradays </t>
  </si>
  <si>
    <t xml:space="preserve">Ampere-turns </t>
  </si>
  <si>
    <t xml:space="preserve">Gilberts </t>
  </si>
  <si>
    <t xml:space="preserve">Atmospheres </t>
  </si>
  <si>
    <t xml:space="preserve">Cms of Mercury </t>
  </si>
  <si>
    <t>Ft. of water (at 4 degrees C)</t>
  </si>
  <si>
    <t>In. of Mercury (at 0 degrees C)</t>
  </si>
  <si>
    <t>Solution</t>
  </si>
  <si>
    <t xml:space="preserve">Kgs/sq. cm </t>
  </si>
  <si>
    <t>Count Items</t>
  </si>
  <si>
    <t xml:space="preserve">Kgs/sq. meter </t>
  </si>
  <si>
    <t xml:space="preserve">Pounds/sq. Inch </t>
  </si>
  <si>
    <t xml:space="preserve">Ton/sq. Inch </t>
  </si>
  <si>
    <t xml:space="preserve">Tons/sq. Foot </t>
  </si>
  <si>
    <t xml:space="preserve">Barrels (oil) </t>
  </si>
  <si>
    <t xml:space="preserve">Gallons (oil) </t>
  </si>
  <si>
    <t xml:space="preserve">Barrels (US dry) </t>
  </si>
  <si>
    <t xml:space="preserve">Cubic. Inches </t>
  </si>
  <si>
    <t xml:space="preserve">Quarts (dry) </t>
  </si>
  <si>
    <t xml:space="preserve">Barrels (US, liquid) </t>
  </si>
  <si>
    <t xml:space="preserve">Barrels (US, dry) </t>
  </si>
  <si>
    <t xml:space="preserve">Gallons </t>
  </si>
  <si>
    <t>Bars</t>
  </si>
  <si>
    <t xml:space="preserve">Bars </t>
  </si>
  <si>
    <t xml:space="preserve">Dynes/sq. cm </t>
  </si>
  <si>
    <t xml:space="preserve">Pounds/sq. Foot </t>
  </si>
  <si>
    <t>Bolt of cloth</t>
  </si>
  <si>
    <t>Ells</t>
  </si>
  <si>
    <t>Linear feet</t>
  </si>
  <si>
    <t xml:space="preserve">BTU </t>
  </si>
  <si>
    <t xml:space="preserve">Ergs </t>
  </si>
  <si>
    <t xml:space="preserve">Foot-lbs </t>
  </si>
  <si>
    <t xml:space="preserve">Gram-Calories </t>
  </si>
  <si>
    <t xml:space="preserve">HorsePower-Hours </t>
  </si>
  <si>
    <t xml:space="preserve">Joules </t>
  </si>
  <si>
    <t xml:space="preserve">Kilogram-Calories </t>
  </si>
  <si>
    <t xml:space="preserve">Kilogram-meters </t>
  </si>
  <si>
    <t xml:space="preserve">Kilowatt-Hours </t>
  </si>
  <si>
    <t xml:space="preserve">BTU/Hour 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</si>
</sst>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_)"/>
    <numFmt numFmtId="166" formatCode="General_)"/>
    <numFmt numFmtId="167" formatCode="0.0_)"/>
    <numFmt numFmtId="168" formatCode="0.00000000_)"/>
    <numFmt numFmtId="169" formatCode="&quot;$&quot;#,##0.00_);[Red]&quot;$&quot;#,##0.00"/>
    <numFmt numFmtId="170" formatCode="&quot;$&quot;#,##0.00_);&quot;$&quot;#,##0.00"/>
    <numFmt numFmtId="171" formatCode="&quot;$&quot;#,##0.0000_);\(&quot;$&quot;#,##0.0000\)"/>
    <numFmt numFmtId="172" formatCode="m"/>
    <numFmt numFmtId="173" formatCode="0.000"/>
    <numFmt numFmtId="174" formatCode="0._)"/>
    <numFmt numFmtId="175" formatCode="0.0000"/>
    <numFmt numFmtId="176" formatCode=".0000_)"/>
    <numFmt numFmtId="177" formatCode="00"/>
    <numFmt numFmtId="178" formatCode="000"/>
    <numFmt numFmtId="179" formatCode=".000_)"/>
    <numFmt numFmtId="180" formatCode=".0000"/>
    <numFmt numFmtId="181" formatCode="0.0"/>
    <numFmt numFmtId="182" formatCode="mm/dd/yy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* #,##0.00_-;\-* #,##0.00_-;_-* &quot;-&quot;??_-;_-@_-"/>
    <numFmt numFmtId="191" formatCode="#,##0.0"/>
    <numFmt numFmtId="192" formatCode="0.00000"/>
    <numFmt numFmtId="193" formatCode="0.000000"/>
    <numFmt numFmtId="194" formatCode="#,##0.000000"/>
    <numFmt numFmtId="195" formatCode="#,##0.0000000"/>
    <numFmt numFmtId="196" formatCode="0.E+00"/>
    <numFmt numFmtId="197" formatCode="#,##0.000"/>
    <numFmt numFmtId="198" formatCode="#,##0.0000"/>
    <numFmt numFmtId="199" formatCode="#,##0.00000"/>
    <numFmt numFmtId="200" formatCode="mmmm\ d\,\ yyyy"/>
    <numFmt numFmtId="201" formatCode="_(* #,##0.0_);_(* \(#,##0.0\);_(* &quot;-&quot;??_);_(@_)"/>
    <numFmt numFmtId="202" formatCode="_(* #,##0_);_(* \(#,##0\);_(* &quot;-&quot;??_);_(@_)"/>
    <numFmt numFmtId="203" formatCode="0.0%"/>
    <numFmt numFmtId="204" formatCode="#,##0.0_);\(#,##0.0\)"/>
    <numFmt numFmtId="205" formatCode="#,##0.000_);\(#,##0.000\)"/>
    <numFmt numFmtId="206" formatCode="dd\-mmm\-yy_)"/>
    <numFmt numFmtId="207" formatCode="0E+00_)"/>
    <numFmt numFmtId="208" formatCode="0.00000000"/>
    <numFmt numFmtId="209" formatCode="0.0000000"/>
    <numFmt numFmtId="210" formatCode="0.0000000000"/>
    <numFmt numFmtId="211" formatCode="0.00000000000"/>
    <numFmt numFmtId="212" formatCode="0.000000000"/>
    <numFmt numFmtId="213" formatCode=";;;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&quot;Rs&quot;#,##0_);\(&quot;Rs&quot;#,##0\)"/>
    <numFmt numFmtId="218" formatCode="&quot;Rs&quot;#,##0_);[Red]\(&quot;Rs&quot;#,##0\)"/>
    <numFmt numFmtId="219" formatCode="&quot;Rs&quot;#,##0.00_);\(&quot;Rs&quot;#,##0.00\)"/>
    <numFmt numFmtId="220" formatCode="&quot;Rs&quot;#,##0.00_);[Red]\(&quot;Rs&quot;#,##0.00\)"/>
    <numFmt numFmtId="221" formatCode="_(&quot;Rs&quot;* #,##0_);_(&quot;Rs&quot;* \(#,##0\);_(&quot;Rs&quot;* &quot;-&quot;_);_(@_)"/>
    <numFmt numFmtId="222" formatCode="_(&quot;Rs&quot;* #,##0.00_);_(&quot;Rs&quot;* \(#,##0.00\);_(&quot;Rs&quot;* &quot;-&quot;??_);_(@_)"/>
    <numFmt numFmtId="223" formatCode="dd\.\ mmm\ yy"/>
    <numFmt numFmtId="224" formatCode="dd\.mm\.yy"/>
    <numFmt numFmtId="225" formatCode="m/d"/>
    <numFmt numFmtId="226" formatCode="d\-mmm\-yyyy"/>
    <numFmt numFmtId="227" formatCode="00000"/>
  </numFmts>
  <fonts count="9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2"/>
      <name val="Arial"/>
      <family val="0"/>
    </font>
    <font>
      <sz val="12"/>
      <color indexed="10"/>
      <name val="Arial"/>
      <family val="0"/>
    </font>
    <font>
      <b/>
      <u val="single"/>
      <sz val="12"/>
      <name val="Arial"/>
      <family val="0"/>
    </font>
    <font>
      <b/>
      <sz val="12"/>
      <color indexed="10"/>
      <name val="Arial"/>
      <family val="2"/>
    </font>
    <font>
      <sz val="18"/>
      <name val="Arial"/>
      <family val="2"/>
    </font>
    <font>
      <b/>
      <sz val="20"/>
      <name val="Arial"/>
      <family val="0"/>
    </font>
    <font>
      <u val="single"/>
      <sz val="11"/>
      <color indexed="10"/>
      <name val="Arial"/>
      <family val="2"/>
    </font>
    <font>
      <sz val="10"/>
      <color indexed="12"/>
      <name val="Arial"/>
      <family val="2"/>
    </font>
    <font>
      <u val="single"/>
      <sz val="12"/>
      <color indexed="10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sz val="12"/>
      <color indexed="14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6"/>
      <name val="Tahoma"/>
      <family val="2"/>
    </font>
    <font>
      <sz val="14"/>
      <name val="Tahoma"/>
      <family val="2"/>
    </font>
    <font>
      <b/>
      <u val="single"/>
      <sz val="14"/>
      <name val="Tahoma"/>
      <family val="2"/>
    </font>
    <font>
      <b/>
      <u val="single"/>
      <sz val="16"/>
      <name val="Tahoma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12"/>
      <name val="Arial"/>
      <family val="0"/>
    </font>
    <font>
      <sz val="8"/>
      <color indexed="9"/>
      <name val="Arial"/>
      <family val="2"/>
    </font>
    <font>
      <b/>
      <sz val="8"/>
      <color indexed="8"/>
      <name val="Arial"/>
      <family val="0"/>
    </font>
    <font>
      <vertAlign val="superscript"/>
      <sz val="8"/>
      <color indexed="9"/>
      <name val="Arial"/>
      <family val="2"/>
    </font>
    <font>
      <vertAlign val="subscript"/>
      <sz val="8"/>
      <color indexed="9"/>
      <name val="Arial"/>
      <family val="2"/>
    </font>
    <font>
      <sz val="8"/>
      <color indexed="10"/>
      <name val="Arial"/>
      <family val="2"/>
    </font>
    <font>
      <b/>
      <u val="single"/>
      <sz val="8"/>
      <color indexed="12"/>
      <name val="Arial"/>
      <family val="2"/>
    </font>
    <font>
      <b/>
      <sz val="6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sz val="12"/>
      <name val="MS Sans Serif"/>
      <family val="0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sz val="16"/>
      <color indexed="40"/>
      <name val="Comic Sans MS"/>
      <family val="4"/>
    </font>
    <font>
      <b/>
      <sz val="13.5"/>
      <color indexed="57"/>
      <name val="Comic Sans MS"/>
      <family val="4"/>
    </font>
    <font>
      <b/>
      <sz val="11"/>
      <name val="Arial"/>
      <family val="2"/>
    </font>
    <font>
      <b/>
      <sz val="11"/>
      <color indexed="14"/>
      <name val="Comic Sans MS"/>
      <family val="4"/>
    </font>
    <font>
      <b/>
      <sz val="11"/>
      <name val="Comic Sans MS"/>
      <family val="4"/>
    </font>
    <font>
      <b/>
      <sz val="11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9"/>
      <color indexed="18"/>
      <name val="Comic Sans MS"/>
      <family val="4"/>
    </font>
    <font>
      <b/>
      <sz val="8"/>
      <color indexed="9"/>
      <name val="MS Sans Serif"/>
      <family val="0"/>
    </font>
    <font>
      <b/>
      <sz val="10"/>
      <color indexed="62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8"/>
      <name val="Comic Sans MS"/>
      <family val="4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b/>
      <sz val="11"/>
      <color indexed="17"/>
      <name val="Comic Sans MS"/>
      <family val="4"/>
    </font>
    <font>
      <b/>
      <sz val="11"/>
      <color indexed="46"/>
      <name val="Comic Sans MS"/>
      <family val="4"/>
    </font>
    <font>
      <sz val="10"/>
      <color indexed="10"/>
      <name val="Comic Sans MS"/>
      <family val="4"/>
    </font>
    <font>
      <b/>
      <i/>
      <sz val="10"/>
      <color indexed="14"/>
      <name val="Times New Roman"/>
      <family val="1"/>
    </font>
    <font>
      <b/>
      <i/>
      <sz val="11"/>
      <color indexed="12"/>
      <name val="Times New Roman"/>
      <family val="0"/>
    </font>
    <font>
      <b/>
      <sz val="12"/>
      <color indexed="12"/>
      <name val="NewBrunswick"/>
      <family val="0"/>
    </font>
    <font>
      <sz val="5"/>
      <name val="MS Sans Serif"/>
      <family val="0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8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lightTrellis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ck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thin"/>
      <bottom style="thin"/>
    </border>
    <border>
      <left style="thick">
        <color indexed="8"/>
      </left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dashed"/>
    </border>
    <border>
      <left style="dashed"/>
      <right style="thin"/>
      <top style="dashed"/>
      <bottom style="dash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4" borderId="0" applyNumberFormat="0" applyBorder="0" applyAlignment="0" applyProtection="0"/>
    <xf numFmtId="0" fontId="78" fillId="6" borderId="0" applyNumberFormat="0" applyBorder="0" applyAlignment="0" applyProtection="0"/>
    <xf numFmtId="0" fontId="78" fillId="3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6" borderId="0" applyNumberFormat="0" applyBorder="0" applyAlignment="0" applyProtection="0"/>
    <xf numFmtId="0" fontId="78" fillId="4" borderId="0" applyNumberFormat="0" applyBorder="0" applyAlignment="0" applyProtection="0"/>
    <xf numFmtId="0" fontId="79" fillId="6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8" borderId="0" applyNumberFormat="0" applyBorder="0" applyAlignment="0" applyProtection="0"/>
    <xf numFmtId="0" fontId="79" fillId="6" borderId="0" applyNumberFormat="0" applyBorder="0" applyAlignment="0" applyProtection="0"/>
    <xf numFmtId="0" fontId="79" fillId="3" borderId="0" applyNumberFormat="0" applyBorder="0" applyAlignment="0" applyProtection="0"/>
    <xf numFmtId="0" fontId="79" fillId="11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80" fillId="15" borderId="0" applyNumberFormat="0" applyBorder="0" applyAlignment="0" applyProtection="0"/>
    <xf numFmtId="0" fontId="81" fillId="16" borderId="1" applyNumberFormat="0" applyAlignment="0" applyProtection="0"/>
    <xf numFmtId="0" fontId="82" fillId="17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4" fillId="6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8" fillId="7" borderId="1" applyNumberFormat="0" applyAlignment="0" applyProtection="0"/>
    <xf numFmtId="0" fontId="89" fillId="0" borderId="6" applyNumberFormat="0" applyFill="0" applyAlignment="0" applyProtection="0"/>
    <xf numFmtId="0" fontId="90" fillId="7" borderId="0" applyNumberFormat="0" applyBorder="0" applyAlignment="0" applyProtection="0"/>
    <xf numFmtId="0" fontId="4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91" fillId="16" borderId="8" applyNumberFormat="0" applyAlignment="0" applyProtection="0"/>
    <xf numFmtId="9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669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4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0" fillId="4" borderId="11" xfId="0" applyFill="1" applyBorder="1" applyAlignment="1">
      <alignment horizontal="centerContinuous"/>
    </xf>
    <xf numFmtId="0" fontId="0" fillId="4" borderId="11" xfId="0" applyFill="1" applyBorder="1" applyAlignment="1">
      <alignment horizontal="left"/>
    </xf>
    <xf numFmtId="0" fontId="0" fillId="4" borderId="11" xfId="0" applyFill="1" applyBorder="1" applyAlignment="1">
      <alignment/>
    </xf>
    <xf numFmtId="0" fontId="6" fillId="4" borderId="12" xfId="0" applyFont="1" applyFill="1" applyBorder="1" applyAlignment="1">
      <alignment horizontal="centerContinuous"/>
    </xf>
    <xf numFmtId="0" fontId="0" fillId="4" borderId="13" xfId="0" applyFill="1" applyBorder="1" applyAlignment="1">
      <alignment horizontal="centerContinuous"/>
    </xf>
    <xf numFmtId="0" fontId="0" fillId="4" borderId="14" xfId="0" applyFill="1" applyBorder="1" applyAlignment="1">
      <alignment horizontal="centerContinuous"/>
    </xf>
    <xf numFmtId="0" fontId="7" fillId="4" borderId="15" xfId="0" applyFont="1" applyFill="1" applyBorder="1" applyAlignment="1">
      <alignment horizontal="centerContinuous"/>
    </xf>
    <xf numFmtId="0" fontId="0" fillId="4" borderId="0" xfId="0" applyFill="1" applyBorder="1" applyAlignment="1">
      <alignment horizontal="centerContinuous"/>
    </xf>
    <xf numFmtId="0" fontId="7" fillId="4" borderId="0" xfId="0" applyFont="1" applyFill="1" applyBorder="1" applyAlignment="1">
      <alignment horizontal="centerContinuous"/>
    </xf>
    <xf numFmtId="0" fontId="0" fillId="4" borderId="16" xfId="0" applyFill="1" applyBorder="1" applyAlignment="1">
      <alignment horizontal="centerContinuous"/>
    </xf>
    <xf numFmtId="0" fontId="5" fillId="0" borderId="17" xfId="0" applyFont="1" applyFill="1" applyBorder="1" applyAlignment="1" applyProtection="1">
      <alignment/>
      <protection locked="0"/>
    </xf>
    <xf numFmtId="0" fontId="0" fillId="4" borderId="0" xfId="0" applyFill="1" applyBorder="1" applyAlignment="1">
      <alignment horizontal="left"/>
    </xf>
    <xf numFmtId="0" fontId="9" fillId="4" borderId="0" xfId="0" applyFont="1" applyFill="1" applyBorder="1" applyAlignment="1">
      <alignment/>
    </xf>
    <xf numFmtId="0" fontId="0" fillId="4" borderId="16" xfId="0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4" borderId="16" xfId="0" applyFill="1" applyBorder="1" applyAlignment="1">
      <alignment/>
    </xf>
    <xf numFmtId="0" fontId="5" fillId="0" borderId="18" xfId="0" applyFont="1" applyFill="1" applyBorder="1" applyAlignment="1" applyProtection="1">
      <alignment/>
      <protection locked="0"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5" fillId="0" borderId="19" xfId="0" applyFont="1" applyFill="1" applyBorder="1" applyAlignment="1" applyProtection="1">
      <alignment/>
      <protection locked="0"/>
    </xf>
    <xf numFmtId="0" fontId="0" fillId="4" borderId="21" xfId="0" applyFill="1" applyBorder="1" applyAlignment="1">
      <alignment/>
    </xf>
    <xf numFmtId="0" fontId="6" fillId="4" borderId="13" xfId="0" applyFont="1" applyFill="1" applyBorder="1" applyAlignment="1">
      <alignment horizontal="centerContinuous"/>
    </xf>
    <xf numFmtId="0" fontId="6" fillId="4" borderId="14" xfId="0" applyFont="1" applyFill="1" applyBorder="1" applyAlignment="1">
      <alignment horizontal="centerContinuous"/>
    </xf>
    <xf numFmtId="0" fontId="8" fillId="4" borderId="15" xfId="0" applyFont="1" applyFill="1" applyBorder="1" applyAlignment="1">
      <alignment horizontal="centerContinuous"/>
    </xf>
    <xf numFmtId="7" fontId="0" fillId="4" borderId="0" xfId="0" applyNumberFormat="1" applyFill="1" applyBorder="1" applyAlignment="1" applyProtection="1">
      <alignment/>
      <protection/>
    </xf>
    <xf numFmtId="0" fontId="0" fillId="4" borderId="15" xfId="0" applyFill="1" applyBorder="1" applyAlignment="1">
      <alignment/>
    </xf>
    <xf numFmtId="0" fontId="0" fillId="4" borderId="18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6" xfId="0" applyFill="1" applyBorder="1" applyAlignment="1">
      <alignment/>
    </xf>
    <xf numFmtId="0" fontId="0" fillId="4" borderId="12" xfId="0" applyFill="1" applyBorder="1" applyAlignment="1">
      <alignment horizontal="centerContinuous"/>
    </xf>
    <xf numFmtId="0" fontId="0" fillId="4" borderId="17" xfId="0" applyFill="1" applyBorder="1" applyAlignment="1">
      <alignment horizontal="centerContinuous"/>
    </xf>
    <xf numFmtId="0" fontId="0" fillId="4" borderId="10" xfId="0" applyFill="1" applyBorder="1" applyAlignment="1">
      <alignment horizontal="centerContinuous"/>
    </xf>
    <xf numFmtId="0" fontId="0" fillId="4" borderId="15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23" xfId="0" applyFill="1" applyBorder="1" applyAlignment="1">
      <alignment/>
    </xf>
    <xf numFmtId="0" fontId="10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right"/>
    </xf>
    <xf numFmtId="7" fontId="7" fillId="4" borderId="0" xfId="0" applyNumberFormat="1" applyFont="1" applyFill="1" applyBorder="1" applyAlignment="1" applyProtection="1">
      <alignment/>
      <protection/>
    </xf>
    <xf numFmtId="0" fontId="0" fillId="4" borderId="18" xfId="0" applyFill="1" applyBorder="1" applyAlignment="1">
      <alignment horizontal="center"/>
    </xf>
    <xf numFmtId="7" fontId="0" fillId="4" borderId="19" xfId="0" applyNumberFormat="1" applyFill="1" applyBorder="1" applyAlignment="1" applyProtection="1">
      <alignment/>
      <protection/>
    </xf>
    <xf numFmtId="7" fontId="5" fillId="0" borderId="10" xfId="0" applyNumberFormat="1" applyFont="1" applyFill="1" applyBorder="1" applyAlignment="1" applyProtection="1">
      <alignment/>
      <protection locked="0"/>
    </xf>
    <xf numFmtId="7" fontId="5" fillId="0" borderId="24" xfId="0" applyNumberFormat="1" applyFont="1" applyFill="1" applyBorder="1" applyAlignment="1" applyProtection="1">
      <alignment/>
      <protection locked="0"/>
    </xf>
    <xf numFmtId="0" fontId="0" fillId="7" borderId="0" xfId="0" applyFill="1" applyBorder="1" applyAlignment="1">
      <alignment horizontal="right"/>
    </xf>
    <xf numFmtId="7" fontId="0" fillId="7" borderId="16" xfId="0" applyNumberFormat="1" applyFill="1" applyBorder="1" applyAlignment="1" applyProtection="1">
      <alignment/>
      <protection/>
    </xf>
    <xf numFmtId="0" fontId="0" fillId="4" borderId="15" xfId="0" applyFill="1" applyBorder="1" applyAlignment="1">
      <alignment horizontal="centerContinuous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Border="1" applyAlignment="1" applyProtection="1">
      <alignment/>
      <protection/>
    </xf>
    <xf numFmtId="0" fontId="0" fillId="4" borderId="15" xfId="0" applyFill="1" applyBorder="1" applyAlignment="1">
      <alignment horizontal="right"/>
    </xf>
    <xf numFmtId="166" fontId="0" fillId="4" borderId="15" xfId="0" applyNumberFormat="1" applyFill="1" applyBorder="1" applyAlignment="1" applyProtection="1">
      <alignment/>
      <protection/>
    </xf>
    <xf numFmtId="0" fontId="0" fillId="4" borderId="19" xfId="0" applyFill="1" applyBorder="1" applyAlignment="1">
      <alignment horizontal="right"/>
    </xf>
    <xf numFmtId="0" fontId="0" fillId="4" borderId="0" xfId="0" applyFill="1" applyBorder="1" applyAlignment="1">
      <alignment horizontal="center" vertical="top"/>
    </xf>
    <xf numFmtId="0" fontId="0" fillId="4" borderId="14" xfId="0" applyFill="1" applyBorder="1" applyAlignment="1">
      <alignment/>
    </xf>
    <xf numFmtId="0" fontId="8" fillId="4" borderId="0" xfId="0" applyFont="1" applyFill="1" applyBorder="1" applyAlignment="1">
      <alignment horizontal="centerContinuous"/>
    </xf>
    <xf numFmtId="0" fontId="6" fillId="4" borderId="25" xfId="0" applyFont="1" applyFill="1" applyBorder="1" applyAlignment="1">
      <alignment horizontal="centerContinuous"/>
    </xf>
    <xf numFmtId="0" fontId="0" fillId="4" borderId="26" xfId="0" applyFill="1" applyBorder="1" applyAlignment="1">
      <alignment horizontal="centerContinuous"/>
    </xf>
    <xf numFmtId="0" fontId="0" fillId="4" borderId="27" xfId="0" applyFill="1" applyBorder="1" applyAlignment="1">
      <alignment horizontal="centerContinuous"/>
    </xf>
    <xf numFmtId="0" fontId="0" fillId="4" borderId="28" xfId="0" applyFill="1" applyBorder="1" applyAlignment="1">
      <alignment horizontal="centerContinuous"/>
    </xf>
    <xf numFmtId="0" fontId="0" fillId="4" borderId="29" xfId="0" applyFill="1" applyBorder="1" applyAlignment="1">
      <alignment horizontal="centerContinuous"/>
    </xf>
    <xf numFmtId="0" fontId="0" fillId="4" borderId="28" xfId="0" applyFill="1" applyBorder="1" applyAlignment="1">
      <alignment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/>
    </xf>
    <xf numFmtId="0" fontId="0" fillId="4" borderId="28" xfId="0" applyFill="1" applyBorder="1" applyAlignment="1">
      <alignment horizontal="right"/>
    </xf>
    <xf numFmtId="0" fontId="0" fillId="4" borderId="30" xfId="0" applyFill="1" applyBorder="1" applyAlignment="1">
      <alignment horizontal="right"/>
    </xf>
    <xf numFmtId="0" fontId="0" fillId="4" borderId="31" xfId="0" applyFill="1" applyBorder="1" applyAlignment="1">
      <alignment/>
    </xf>
    <xf numFmtId="0" fontId="0" fillId="4" borderId="31" xfId="0" applyFill="1" applyBorder="1" applyAlignment="1">
      <alignment horizontal="left"/>
    </xf>
    <xf numFmtId="0" fontId="0" fillId="4" borderId="32" xfId="0" applyFill="1" applyBorder="1" applyAlignment="1">
      <alignment/>
    </xf>
    <xf numFmtId="0" fontId="6" fillId="4" borderId="26" xfId="0" applyFont="1" applyFill="1" applyBorder="1" applyAlignment="1">
      <alignment horizontal="centerContinuous"/>
    </xf>
    <xf numFmtId="0" fontId="6" fillId="4" borderId="27" xfId="0" applyFont="1" applyFill="1" applyBorder="1" applyAlignment="1">
      <alignment horizontal="centerContinuous"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/>
    </xf>
    <xf numFmtId="166" fontId="0" fillId="4" borderId="33" xfId="0" applyNumberFormat="1" applyFill="1" applyBorder="1" applyAlignment="1" applyProtection="1">
      <alignment/>
      <protection/>
    </xf>
    <xf numFmtId="7" fontId="5" fillId="0" borderId="34" xfId="0" applyNumberFormat="1" applyFont="1" applyFill="1" applyBorder="1" applyAlignment="1" applyProtection="1">
      <alignment/>
      <protection locked="0"/>
    </xf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11" fillId="4" borderId="15" xfId="0" applyFont="1" applyFill="1" applyBorder="1" applyAlignment="1">
      <alignment horizontal="centerContinuous"/>
    </xf>
    <xf numFmtId="164" fontId="0" fillId="4" borderId="0" xfId="0" applyNumberFormat="1" applyFill="1" applyBorder="1" applyAlignment="1" applyProtection="1">
      <alignment horizontal="center"/>
      <protection/>
    </xf>
    <xf numFmtId="0" fontId="4" fillId="0" borderId="0" xfId="60">
      <alignment/>
      <protection/>
    </xf>
    <xf numFmtId="0" fontId="4" fillId="0" borderId="0" xfId="60" applyAlignment="1">
      <alignment horizontal="right"/>
      <protection/>
    </xf>
    <xf numFmtId="0" fontId="4" fillId="0" borderId="0" xfId="60" applyProtection="1">
      <alignment/>
      <protection locked="0"/>
    </xf>
    <xf numFmtId="0" fontId="4" fillId="0" borderId="0" xfId="60" applyProtection="1">
      <alignment/>
      <protection/>
    </xf>
    <xf numFmtId="0" fontId="4" fillId="4" borderId="0" xfId="60" applyFill="1">
      <alignment/>
      <protection/>
    </xf>
    <xf numFmtId="0" fontId="4" fillId="4" borderId="0" xfId="60" applyFill="1" applyAlignment="1">
      <alignment horizontal="right"/>
      <protection/>
    </xf>
    <xf numFmtId="0" fontId="4" fillId="4" borderId="0" xfId="60" applyFill="1" applyProtection="1">
      <alignment/>
      <protection/>
    </xf>
    <xf numFmtId="0" fontId="4" fillId="4" borderId="0" xfId="60" applyFill="1" applyAlignment="1">
      <alignment horizontal="center"/>
      <protection/>
    </xf>
    <xf numFmtId="0" fontId="4" fillId="4" borderId="15" xfId="60" applyFill="1" applyBorder="1">
      <alignment/>
      <protection/>
    </xf>
    <xf numFmtId="0" fontId="4" fillId="4" borderId="15" xfId="60" applyFill="1" applyBorder="1" applyProtection="1">
      <alignment/>
      <protection/>
    </xf>
    <xf numFmtId="0" fontId="4" fillId="4" borderId="16" xfId="60" applyFill="1" applyBorder="1">
      <alignment/>
      <protection/>
    </xf>
    <xf numFmtId="164" fontId="13" fillId="4" borderId="26" xfId="0" applyNumberFormat="1" applyFont="1" applyFill="1" applyBorder="1" applyAlignment="1" applyProtection="1">
      <alignment horizontal="centerContinuous"/>
      <protection/>
    </xf>
    <xf numFmtId="164" fontId="13" fillId="4" borderId="25" xfId="0" applyNumberFormat="1" applyFont="1" applyFill="1" applyBorder="1" applyAlignment="1" applyProtection="1">
      <alignment horizontal="centerContinuous"/>
      <protection/>
    </xf>
    <xf numFmtId="164" fontId="0" fillId="4" borderId="28" xfId="0" applyNumberFormat="1" applyFill="1" applyBorder="1" applyAlignment="1" applyProtection="1">
      <alignment/>
      <protection/>
    </xf>
    <xf numFmtId="164" fontId="13" fillId="4" borderId="27" xfId="0" applyNumberFormat="1" applyFont="1" applyFill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4" borderId="28" xfId="0" applyFill="1" applyBorder="1" applyAlignment="1" applyProtection="1">
      <alignment horizontal="right"/>
      <protection/>
    </xf>
    <xf numFmtId="0" fontId="0" fillId="4" borderId="0" xfId="0" applyFill="1" applyBorder="1" applyAlignment="1" applyProtection="1">
      <alignment horizontal="left"/>
      <protection/>
    </xf>
    <xf numFmtId="0" fontId="0" fillId="4" borderId="28" xfId="0" applyFill="1" applyBorder="1" applyAlignment="1" applyProtection="1">
      <alignment horizontal="left"/>
      <protection/>
    </xf>
    <xf numFmtId="0" fontId="0" fillId="4" borderId="28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right"/>
      <protection/>
    </xf>
    <xf numFmtId="0" fontId="0" fillId="4" borderId="0" xfId="0" applyFill="1" applyBorder="1" applyAlignment="1" applyProtection="1">
      <alignment horizontal="centerContinuous"/>
      <protection/>
    </xf>
    <xf numFmtId="0" fontId="0" fillId="4" borderId="30" xfId="0" applyFill="1" applyBorder="1" applyAlignment="1" applyProtection="1">
      <alignment horizontal="right"/>
      <protection/>
    </xf>
    <xf numFmtId="0" fontId="0" fillId="4" borderId="31" xfId="0" applyFill="1" applyBorder="1" applyAlignment="1" applyProtection="1">
      <alignment horizontal="right"/>
      <protection/>
    </xf>
    <xf numFmtId="164" fontId="0" fillId="4" borderId="0" xfId="0" applyNumberFormat="1" applyFill="1" applyBorder="1" applyAlignment="1" applyProtection="1">
      <alignment horizontal="centerContinuous"/>
      <protection/>
    </xf>
    <xf numFmtId="164" fontId="0" fillId="4" borderId="28" xfId="0" applyNumberFormat="1" applyFill="1" applyBorder="1" applyAlignment="1" applyProtection="1">
      <alignment horizontal="right"/>
      <protection/>
    </xf>
    <xf numFmtId="164" fontId="7" fillId="4" borderId="28" xfId="0" applyNumberFormat="1" applyFont="1" applyFill="1" applyBorder="1" applyAlignment="1" applyProtection="1">
      <alignment horizontal="centerContinuous"/>
      <protection/>
    </xf>
    <xf numFmtId="164" fontId="11" fillId="7" borderId="37" xfId="0" applyNumberFormat="1" applyFont="1" applyFill="1" applyBorder="1" applyAlignment="1" applyProtection="1">
      <alignment horizontal="centerContinuous"/>
      <protection/>
    </xf>
    <xf numFmtId="164" fontId="9" fillId="7" borderId="38" xfId="0" applyNumberFormat="1" applyFont="1" applyFill="1" applyBorder="1" applyAlignment="1" applyProtection="1">
      <alignment horizontal="centerContinuous"/>
      <protection/>
    </xf>
    <xf numFmtId="0" fontId="9" fillId="7" borderId="38" xfId="0" applyFont="1" applyFill="1" applyBorder="1" applyAlignment="1">
      <alignment horizontal="centerContinuous"/>
    </xf>
    <xf numFmtId="0" fontId="9" fillId="7" borderId="39" xfId="0" applyFont="1" applyFill="1" applyBorder="1" applyAlignment="1">
      <alignment horizontal="centerContinuous"/>
    </xf>
    <xf numFmtId="164" fontId="9" fillId="7" borderId="0" xfId="0" applyNumberFormat="1" applyFont="1" applyFill="1" applyBorder="1" applyAlignment="1" applyProtection="1">
      <alignment horizontal="centerContinuous"/>
      <protection/>
    </xf>
    <xf numFmtId="0" fontId="9" fillId="7" borderId="0" xfId="0" applyFont="1" applyFill="1" applyBorder="1" applyAlignment="1">
      <alignment horizontal="centerContinuous"/>
    </xf>
    <xf numFmtId="0" fontId="9" fillId="7" borderId="29" xfId="0" applyFont="1" applyFill="1" applyBorder="1" applyAlignment="1">
      <alignment horizontal="centerContinuous"/>
    </xf>
    <xf numFmtId="166" fontId="9" fillId="7" borderId="40" xfId="0" applyNumberFormat="1" applyFont="1" applyFill="1" applyBorder="1" applyAlignment="1" applyProtection="1">
      <alignment/>
      <protection/>
    </xf>
    <xf numFmtId="0" fontId="9" fillId="7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/>
    </xf>
    <xf numFmtId="0" fontId="9" fillId="7" borderId="29" xfId="0" applyFont="1" applyFill="1" applyBorder="1" applyAlignment="1">
      <alignment horizontal="left"/>
    </xf>
    <xf numFmtId="166" fontId="9" fillId="7" borderId="41" xfId="0" applyNumberFormat="1" applyFont="1" applyFill="1" applyBorder="1" applyAlignment="1" applyProtection="1">
      <alignment/>
      <protection/>
    </xf>
    <xf numFmtId="166" fontId="9" fillId="7" borderId="42" xfId="0" applyNumberFormat="1" applyFont="1" applyFill="1" applyBorder="1" applyAlignment="1" applyProtection="1">
      <alignment/>
      <protection/>
    </xf>
    <xf numFmtId="0" fontId="9" fillId="7" borderId="43" xfId="0" applyFont="1" applyFill="1" applyBorder="1" applyAlignment="1">
      <alignment horizontal="left"/>
    </xf>
    <xf numFmtId="0" fontId="9" fillId="7" borderId="43" xfId="0" applyFont="1" applyFill="1" applyBorder="1" applyAlignment="1">
      <alignment/>
    </xf>
    <xf numFmtId="0" fontId="9" fillId="7" borderId="44" xfId="0" applyFont="1" applyFill="1" applyBorder="1" applyAlignment="1">
      <alignment/>
    </xf>
    <xf numFmtId="164" fontId="10" fillId="4" borderId="28" xfId="0" applyNumberFormat="1" applyFont="1" applyFill="1" applyBorder="1" applyAlignment="1" applyProtection="1">
      <alignment horizontal="centerContinuous"/>
      <protection/>
    </xf>
    <xf numFmtId="164" fontId="7" fillId="4" borderId="0" xfId="0" applyNumberFormat="1" applyFont="1" applyFill="1" applyBorder="1" applyAlignment="1" applyProtection="1">
      <alignment horizontal="centerContinuous"/>
      <protection/>
    </xf>
    <xf numFmtId="164" fontId="7" fillId="4" borderId="28" xfId="0" applyNumberFormat="1" applyFont="1" applyFill="1" applyBorder="1" applyAlignment="1" applyProtection="1">
      <alignment horizontal="centerContinuous"/>
      <protection/>
    </xf>
    <xf numFmtId="0" fontId="8" fillId="4" borderId="0" xfId="0" applyFont="1" applyFill="1" applyBorder="1" applyAlignment="1">
      <alignment horizontal="right"/>
    </xf>
    <xf numFmtId="164" fontId="8" fillId="4" borderId="0" xfId="0" applyNumberFormat="1" applyFont="1" applyFill="1" applyBorder="1" applyAlignment="1" applyProtection="1">
      <alignment vertical="top"/>
      <protection/>
    </xf>
    <xf numFmtId="164" fontId="8" fillId="4" borderId="0" xfId="0" applyNumberFormat="1" applyFont="1" applyFill="1" applyBorder="1" applyAlignment="1" applyProtection="1">
      <alignment horizontal="center" vertical="top"/>
      <protection/>
    </xf>
    <xf numFmtId="164" fontId="8" fillId="4" borderId="0" xfId="0" applyNumberFormat="1" applyFont="1" applyFill="1" applyBorder="1" applyAlignment="1" applyProtection="1">
      <alignment horizontal="left" vertical="top"/>
      <protection/>
    </xf>
    <xf numFmtId="164" fontId="8" fillId="4" borderId="29" xfId="0" applyNumberFormat="1" applyFont="1" applyFill="1" applyBorder="1" applyAlignment="1" applyProtection="1">
      <alignment horizontal="left" vertical="top"/>
      <protection/>
    </xf>
    <xf numFmtId="164" fontId="14" fillId="7" borderId="40" xfId="0" applyNumberFormat="1" applyFont="1" applyFill="1" applyBorder="1" applyAlignment="1" applyProtection="1">
      <alignment horizontal="centerContinuous"/>
      <protection/>
    </xf>
    <xf numFmtId="0" fontId="8" fillId="4" borderId="0" xfId="0" applyFont="1" applyFill="1" applyBorder="1" applyAlignment="1" applyProtection="1">
      <alignment horizontal="right"/>
      <protection/>
    </xf>
    <xf numFmtId="168" fontId="0" fillId="4" borderId="16" xfId="0" applyNumberFormat="1" applyFill="1" applyBorder="1" applyAlignment="1" applyProtection="1">
      <alignment horizontal="left"/>
      <protection/>
    </xf>
    <xf numFmtId="0" fontId="0" fillId="4" borderId="21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5" fillId="0" borderId="10" xfId="0" applyFont="1" applyFill="1" applyBorder="1" applyAlignment="1" applyProtection="1">
      <alignment horizontal="left"/>
      <protection locked="0"/>
    </xf>
    <xf numFmtId="1" fontId="0" fillId="4" borderId="0" xfId="0" applyNumberFormat="1" applyFill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4" borderId="19" xfId="0" applyNumberFormat="1" applyFill="1" applyBorder="1" applyAlignment="1">
      <alignment horizontal="right"/>
    </xf>
    <xf numFmtId="1" fontId="0" fillId="4" borderId="0" xfId="0" applyNumberFormat="1" applyFill="1" applyBorder="1" applyAlignment="1">
      <alignment horizontal="right"/>
    </xf>
    <xf numFmtId="0" fontId="9" fillId="4" borderId="15" xfId="0" applyFont="1" applyFill="1" applyBorder="1" applyAlignment="1">
      <alignment/>
    </xf>
    <xf numFmtId="0" fontId="4" fillId="4" borderId="0" xfId="60" applyFont="1" applyFill="1">
      <alignment/>
      <protection/>
    </xf>
    <xf numFmtId="0" fontId="4" fillId="4" borderId="0" xfId="60" applyFont="1" applyFill="1" applyAlignment="1">
      <alignment horizontal="center"/>
      <protection/>
    </xf>
    <xf numFmtId="2" fontId="0" fillId="4" borderId="0" xfId="0" applyNumberFormat="1" applyFill="1" applyBorder="1" applyAlignment="1" applyProtection="1">
      <alignment/>
      <protection/>
    </xf>
    <xf numFmtId="2" fontId="9" fillId="7" borderId="0" xfId="0" applyNumberFormat="1" applyFont="1" applyFill="1" applyBorder="1" applyAlignment="1" applyProtection="1">
      <alignment/>
      <protection/>
    </xf>
    <xf numFmtId="0" fontId="15" fillId="0" borderId="45" xfId="60" applyFont="1" applyFill="1" applyBorder="1" applyProtection="1">
      <alignment/>
      <protection locked="0"/>
    </xf>
    <xf numFmtId="0" fontId="5" fillId="0" borderId="46" xfId="0" applyNumberFormat="1" applyFont="1" applyFill="1" applyBorder="1" applyAlignment="1" applyProtection="1">
      <alignment/>
      <protection locked="0"/>
    </xf>
    <xf numFmtId="0" fontId="8" fillId="4" borderId="0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0" fillId="4" borderId="0" xfId="0" applyFill="1" applyBorder="1" applyAlignment="1" applyProtection="1">
      <alignment horizontal="center"/>
      <protection/>
    </xf>
    <xf numFmtId="164" fontId="0" fillId="4" borderId="16" xfId="0" applyNumberFormat="1" applyFill="1" applyBorder="1" applyAlignment="1" applyProtection="1">
      <alignment horizontal="center"/>
      <protection/>
    </xf>
    <xf numFmtId="0" fontId="16" fillId="4" borderId="15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left"/>
    </xf>
    <xf numFmtId="164" fontId="17" fillId="0" borderId="10" xfId="0" applyNumberFormat="1" applyFont="1" applyFill="1" applyBorder="1" applyAlignment="1" applyProtection="1">
      <alignment horizontal="center"/>
      <protection locked="0"/>
    </xf>
    <xf numFmtId="1" fontId="17" fillId="0" borderId="10" xfId="0" applyNumberFormat="1" applyFont="1" applyFill="1" applyBorder="1" applyAlignment="1" applyProtection="1">
      <alignment horizontal="center"/>
      <protection locked="0"/>
    </xf>
    <xf numFmtId="0" fontId="18" fillId="4" borderId="47" xfId="0" applyFont="1" applyFill="1" applyBorder="1" applyAlignment="1" applyProtection="1">
      <alignment horizontal="center"/>
      <protection/>
    </xf>
    <xf numFmtId="164" fontId="18" fillId="4" borderId="0" xfId="0" applyNumberFormat="1" applyFont="1" applyFill="1" applyBorder="1" applyAlignment="1" applyProtection="1">
      <alignment vertical="top"/>
      <protection/>
    </xf>
    <xf numFmtId="1" fontId="18" fillId="4" borderId="0" xfId="0" applyNumberFormat="1" applyFont="1" applyFill="1" applyBorder="1" applyAlignment="1" applyProtection="1">
      <alignment horizontal="left" vertical="top"/>
      <protection/>
    </xf>
    <xf numFmtId="164" fontId="18" fillId="4" borderId="0" xfId="0" applyNumberFormat="1" applyFont="1" applyFill="1" applyBorder="1" applyAlignment="1" applyProtection="1">
      <alignment/>
      <protection/>
    </xf>
    <xf numFmtId="0" fontId="18" fillId="4" borderId="29" xfId="0" applyFont="1" applyFill="1" applyBorder="1" applyAlignment="1" applyProtection="1">
      <alignment horizontal="left"/>
      <protection/>
    </xf>
    <xf numFmtId="0" fontId="18" fillId="4" borderId="0" xfId="0" applyFont="1" applyFill="1" applyBorder="1" applyAlignment="1" applyProtection="1">
      <alignment horizontal="left"/>
      <protection/>
    </xf>
    <xf numFmtId="0" fontId="18" fillId="4" borderId="48" xfId="0" applyFont="1" applyFill="1" applyBorder="1" applyAlignment="1" applyProtection="1">
      <alignment horizontal="center"/>
      <protection/>
    </xf>
    <xf numFmtId="164" fontId="18" fillId="4" borderId="31" xfId="0" applyNumberFormat="1" applyFont="1" applyFill="1" applyBorder="1" applyAlignment="1" applyProtection="1">
      <alignment/>
      <protection/>
    </xf>
    <xf numFmtId="0" fontId="18" fillId="4" borderId="31" xfId="0" applyFont="1" applyFill="1" applyBorder="1" applyAlignment="1" applyProtection="1">
      <alignment horizontal="left"/>
      <protection/>
    </xf>
    <xf numFmtId="0" fontId="18" fillId="4" borderId="32" xfId="0" applyFont="1" applyFill="1" applyBorder="1" applyAlignment="1" applyProtection="1">
      <alignment horizontal="left"/>
      <protection/>
    </xf>
    <xf numFmtId="0" fontId="19" fillId="4" borderId="19" xfId="0" applyFont="1" applyFill="1" applyBorder="1" applyAlignment="1">
      <alignment horizontal="right"/>
    </xf>
    <xf numFmtId="170" fontId="19" fillId="4" borderId="19" xfId="0" applyNumberFormat="1" applyFont="1" applyFill="1" applyBorder="1" applyAlignment="1">
      <alignment horizontal="center"/>
    </xf>
    <xf numFmtId="0" fontId="19" fillId="4" borderId="19" xfId="0" applyFont="1" applyFill="1" applyBorder="1" applyAlignment="1">
      <alignment horizontal="left"/>
    </xf>
    <xf numFmtId="0" fontId="19" fillId="4" borderId="19" xfId="0" applyFont="1" applyFill="1" applyBorder="1" applyAlignment="1">
      <alignment/>
    </xf>
    <xf numFmtId="0" fontId="8" fillId="4" borderId="28" xfId="0" applyFont="1" applyFill="1" applyBorder="1" applyAlignment="1" applyProtection="1">
      <alignment horizontal="centerContinuous"/>
      <protection/>
    </xf>
    <xf numFmtId="0" fontId="0" fillId="4" borderId="49" xfId="0" applyFill="1" applyBorder="1" applyAlignment="1">
      <alignment horizontal="center"/>
    </xf>
    <xf numFmtId="164" fontId="0" fillId="4" borderId="40" xfId="0" applyNumberFormat="1" applyFill="1" applyBorder="1" applyAlignment="1" applyProtection="1">
      <alignment horizontal="center"/>
      <protection/>
    </xf>
    <xf numFmtId="0" fontId="0" fillId="4" borderId="50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18" fillId="4" borderId="19" xfId="0" applyFont="1" applyFill="1" applyBorder="1" applyAlignment="1">
      <alignment horizontal="right"/>
    </xf>
    <xf numFmtId="7" fontId="0" fillId="0" borderId="0" xfId="0" applyNumberFormat="1" applyAlignment="1">
      <alignment/>
    </xf>
    <xf numFmtId="166" fontId="5" fillId="0" borderId="10" xfId="0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7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7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5" fillId="0" borderId="10" xfId="0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8" fillId="0" borderId="0" xfId="0" applyFont="1" applyAlignment="1">
      <alignment/>
    </xf>
    <xf numFmtId="0" fontId="0" fillId="7" borderId="53" xfId="0" applyFill="1" applyBorder="1" applyAlignment="1">
      <alignment/>
    </xf>
    <xf numFmtId="0" fontId="8" fillId="4" borderId="26" xfId="0" applyFont="1" applyFill="1" applyBorder="1" applyAlignment="1">
      <alignment horizontal="centerContinuous"/>
    </xf>
    <xf numFmtId="0" fontId="8" fillId="4" borderId="28" xfId="0" applyFont="1" applyFill="1" applyBorder="1" applyAlignment="1">
      <alignment horizontal="centerContinuous"/>
    </xf>
    <xf numFmtId="0" fontId="0" fillId="4" borderId="0" xfId="0" applyNumberFormat="1" applyFill="1" applyBorder="1" applyAlignment="1" applyProtection="1">
      <alignment/>
      <protection/>
    </xf>
    <xf numFmtId="0" fontId="0" fillId="4" borderId="0" xfId="0" applyNumberFormat="1" applyFill="1" applyBorder="1" applyAlignment="1" applyProtection="1">
      <alignment/>
      <protection/>
    </xf>
    <xf numFmtId="0" fontId="0" fillId="4" borderId="0" xfId="0" applyNumberFormat="1" applyFill="1" applyBorder="1" applyAlignment="1" applyProtection="1">
      <alignment horizontal="right"/>
      <protection/>
    </xf>
    <xf numFmtId="0" fontId="0" fillId="4" borderId="0" xfId="0" applyNumberFormat="1" applyFill="1" applyBorder="1" applyAlignment="1" applyProtection="1">
      <alignment horizontal="left"/>
      <protection/>
    </xf>
    <xf numFmtId="0" fontId="0" fillId="4" borderId="29" xfId="0" applyNumberFormat="1" applyFill="1" applyBorder="1" applyAlignment="1" applyProtection="1">
      <alignment/>
      <protection/>
    </xf>
    <xf numFmtId="0" fontId="6" fillId="4" borderId="25" xfId="0" applyNumberFormat="1" applyFont="1" applyFill="1" applyBorder="1" applyAlignment="1" applyProtection="1">
      <alignment horizontal="centerContinuous"/>
      <protection/>
    </xf>
    <xf numFmtId="0" fontId="0" fillId="4" borderId="26" xfId="0" applyNumberFormat="1" applyFill="1" applyBorder="1" applyAlignment="1" applyProtection="1">
      <alignment horizontal="centerContinuous"/>
      <protection/>
    </xf>
    <xf numFmtId="0" fontId="0" fillId="4" borderId="27" xfId="0" applyNumberFormat="1" applyFill="1" applyBorder="1" applyAlignment="1" applyProtection="1">
      <alignment horizontal="centerContinuous"/>
      <protection/>
    </xf>
    <xf numFmtId="173" fontId="0" fillId="0" borderId="0" xfId="0" applyNumberFormat="1" applyAlignment="1" applyProtection="1">
      <alignment/>
      <protection/>
    </xf>
    <xf numFmtId="0" fontId="0" fillId="4" borderId="28" xfId="0" applyNumberFormat="1" applyFill="1" applyBorder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4" borderId="30" xfId="0" applyNumberFormat="1" applyFill="1" applyBorder="1" applyAlignment="1" applyProtection="1">
      <alignment/>
      <protection/>
    </xf>
    <xf numFmtId="0" fontId="0" fillId="4" borderId="31" xfId="0" applyNumberFormat="1" applyFill="1" applyBorder="1" applyAlignment="1" applyProtection="1">
      <alignment/>
      <protection/>
    </xf>
    <xf numFmtId="0" fontId="0" fillId="4" borderId="32" xfId="0" applyNumberFormat="1" applyFill="1" applyBorder="1" applyAlignment="1" applyProtection="1">
      <alignment/>
      <protection/>
    </xf>
    <xf numFmtId="0" fontId="0" fillId="4" borderId="0" xfId="0" applyNumberFormat="1" applyFill="1" applyBorder="1" applyAlignment="1" applyProtection="1">
      <alignment horizontal="centerContinuous"/>
      <protection/>
    </xf>
    <xf numFmtId="0" fontId="0" fillId="4" borderId="54" xfId="0" applyNumberFormat="1" applyFill="1" applyBorder="1" applyAlignment="1" applyProtection="1">
      <alignment horizontal="centerContinuous"/>
      <protection/>
    </xf>
    <xf numFmtId="0" fontId="0" fillId="4" borderId="51" xfId="0" applyNumberFormat="1" applyFill="1" applyBorder="1" applyAlignment="1" applyProtection="1">
      <alignment horizontal="centerContinuous"/>
      <protection/>
    </xf>
    <xf numFmtId="0" fontId="0" fillId="4" borderId="50" xfId="0" applyNumberFormat="1" applyFill="1" applyBorder="1" applyAlignment="1" applyProtection="1">
      <alignment horizontal="right"/>
      <protection/>
    </xf>
    <xf numFmtId="0" fontId="7" fillId="4" borderId="0" xfId="0" applyNumberFormat="1" applyFont="1" applyFill="1" applyBorder="1" applyAlignment="1" applyProtection="1">
      <alignment horizontal="center"/>
      <protection/>
    </xf>
    <xf numFmtId="0" fontId="9" fillId="7" borderId="51" xfId="0" applyFont="1" applyFill="1" applyBorder="1" applyAlignment="1">
      <alignment horizontal="center"/>
    </xf>
    <xf numFmtId="0" fontId="9" fillId="7" borderId="55" xfId="0" applyFont="1" applyFill="1" applyBorder="1" applyAlignment="1">
      <alignment horizontal="center"/>
    </xf>
    <xf numFmtId="0" fontId="9" fillId="7" borderId="56" xfId="0" applyFont="1" applyFill="1" applyBorder="1" applyAlignment="1">
      <alignment horizontal="center"/>
    </xf>
    <xf numFmtId="0" fontId="9" fillId="7" borderId="57" xfId="0" applyFont="1" applyFill="1" applyBorder="1" applyAlignment="1">
      <alignment horizontal="center"/>
    </xf>
    <xf numFmtId="0" fontId="9" fillId="7" borderId="58" xfId="0" applyFont="1" applyFill="1" applyBorder="1" applyAlignment="1">
      <alignment horizontal="center"/>
    </xf>
    <xf numFmtId="0" fontId="0" fillId="4" borderId="29" xfId="0" applyNumberFormat="1" applyFill="1" applyBorder="1" applyAlignment="1" applyProtection="1">
      <alignment horizontal="centerContinuous"/>
      <protection/>
    </xf>
    <xf numFmtId="0" fontId="8" fillId="4" borderId="0" xfId="0" applyNumberFormat="1" applyFont="1" applyFill="1" applyBorder="1" applyAlignment="1" applyProtection="1">
      <alignment/>
      <protection/>
    </xf>
    <xf numFmtId="0" fontId="7" fillId="4" borderId="28" xfId="0" applyNumberFormat="1" applyFont="1" applyFill="1" applyBorder="1" applyAlignment="1" applyProtection="1">
      <alignment horizontal="centerContinuous"/>
      <protection/>
    </xf>
    <xf numFmtId="0" fontId="5" fillId="0" borderId="10" xfId="0" applyNumberFormat="1" applyFont="1" applyFill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4" borderId="59" xfId="0" applyFont="1" applyFill="1" applyBorder="1" applyAlignment="1">
      <alignment horizontal="center" textRotation="180"/>
    </xf>
    <xf numFmtId="0" fontId="21" fillId="4" borderId="60" xfId="0" applyFont="1" applyFill="1" applyBorder="1" applyAlignment="1">
      <alignment horizontal="center" textRotation="180"/>
    </xf>
    <xf numFmtId="0" fontId="21" fillId="4" borderId="61" xfId="0" applyFont="1" applyFill="1" applyBorder="1" applyAlignment="1">
      <alignment horizontal="center" textRotation="180"/>
    </xf>
    <xf numFmtId="0" fontId="21" fillId="4" borderId="30" xfId="0" applyFont="1" applyFill="1" applyBorder="1" applyAlignment="1">
      <alignment horizontal="center" vertical="center"/>
    </xf>
    <xf numFmtId="0" fontId="21" fillId="4" borderId="31" xfId="0" applyFont="1" applyFill="1" applyBorder="1" applyAlignment="1" applyProtection="1">
      <alignment horizontal="center" vertical="center"/>
      <protection/>
    </xf>
    <xf numFmtId="0" fontId="21" fillId="4" borderId="28" xfId="0" applyFont="1" applyFill="1" applyBorder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/>
    </xf>
    <xf numFmtId="165" fontId="21" fillId="4" borderId="0" xfId="0" applyNumberFormat="1" applyFont="1" applyFill="1" applyAlignment="1" applyProtection="1">
      <alignment vertical="center"/>
      <protection/>
    </xf>
    <xf numFmtId="165" fontId="21" fillId="4" borderId="29" xfId="0" applyNumberFormat="1" applyFont="1" applyFill="1" applyBorder="1" applyAlignment="1" applyProtection="1">
      <alignment vertical="center"/>
      <protection/>
    </xf>
    <xf numFmtId="0" fontId="21" fillId="4" borderId="28" xfId="0" applyFont="1" applyFill="1" applyBorder="1" applyAlignment="1">
      <alignment vertical="center"/>
    </xf>
    <xf numFmtId="165" fontId="21" fillId="4" borderId="31" xfId="0" applyNumberFormat="1" applyFont="1" applyFill="1" applyBorder="1" applyAlignment="1" applyProtection="1">
      <alignment vertical="center"/>
      <protection/>
    </xf>
    <xf numFmtId="176" fontId="22" fillId="4" borderId="0" xfId="0" applyNumberFormat="1" applyFont="1" applyFill="1" applyAlignment="1" applyProtection="1">
      <alignment vertical="center"/>
      <protection/>
    </xf>
    <xf numFmtId="176" fontId="22" fillId="4" borderId="31" xfId="0" applyNumberFormat="1" applyFont="1" applyFill="1" applyBorder="1" applyAlignment="1" applyProtection="1">
      <alignment vertical="center"/>
      <protection/>
    </xf>
    <xf numFmtId="176" fontId="22" fillId="4" borderId="0" xfId="0" applyNumberFormat="1" applyFont="1" applyFill="1" applyAlignment="1">
      <alignment vertical="center"/>
    </xf>
    <xf numFmtId="176" fontId="22" fillId="4" borderId="31" xfId="0" applyNumberFormat="1" applyFont="1" applyFill="1" applyBorder="1" applyAlignment="1">
      <alignment vertical="center"/>
    </xf>
    <xf numFmtId="2" fontId="21" fillId="4" borderId="0" xfId="0" applyNumberFormat="1" applyFont="1" applyFill="1" applyAlignment="1" applyProtection="1">
      <alignment vertical="center"/>
      <protection/>
    </xf>
    <xf numFmtId="2" fontId="21" fillId="4" borderId="0" xfId="0" applyNumberFormat="1" applyFont="1" applyFill="1" applyBorder="1" applyAlignment="1" applyProtection="1">
      <alignment horizontal="center" vertical="center"/>
      <protection/>
    </xf>
    <xf numFmtId="2" fontId="21" fillId="4" borderId="29" xfId="0" applyNumberFormat="1" applyFont="1" applyFill="1" applyBorder="1" applyAlignment="1">
      <alignment vertical="center"/>
    </xf>
    <xf numFmtId="165" fontId="21" fillId="4" borderId="0" xfId="0" applyNumberFormat="1" applyFont="1" applyFill="1" applyBorder="1" applyAlignment="1" applyProtection="1">
      <alignment horizontal="center" vertical="center"/>
      <protection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/>
    </xf>
    <xf numFmtId="2" fontId="21" fillId="4" borderId="0" xfId="0" applyNumberFormat="1" applyFont="1" applyFill="1" applyBorder="1" applyAlignment="1" applyProtection="1">
      <alignment vertical="center"/>
      <protection/>
    </xf>
    <xf numFmtId="0" fontId="21" fillId="4" borderId="0" xfId="0" applyFont="1" applyFill="1" applyAlignment="1">
      <alignment horizontal="center" vertical="center"/>
    </xf>
    <xf numFmtId="2" fontId="21" fillId="4" borderId="0" xfId="0" applyNumberFormat="1" applyFont="1" applyFill="1" applyAlignment="1">
      <alignment vertical="center"/>
    </xf>
    <xf numFmtId="0" fontId="21" fillId="4" borderId="31" xfId="0" applyFont="1" applyFill="1" applyBorder="1" applyAlignment="1">
      <alignment horizontal="center" vertical="center"/>
    </xf>
    <xf numFmtId="2" fontId="21" fillId="4" borderId="31" xfId="0" applyNumberFormat="1" applyFont="1" applyFill="1" applyBorder="1" applyAlignment="1">
      <alignment vertical="center"/>
    </xf>
    <xf numFmtId="0" fontId="21" fillId="4" borderId="30" xfId="0" applyFont="1" applyFill="1" applyBorder="1" applyAlignment="1">
      <alignment vertical="center"/>
    </xf>
    <xf numFmtId="2" fontId="21" fillId="4" borderId="32" xfId="0" applyNumberFormat="1" applyFont="1" applyFill="1" applyBorder="1" applyAlignment="1">
      <alignment vertical="center"/>
    </xf>
    <xf numFmtId="176" fontId="22" fillId="4" borderId="0" xfId="0" applyNumberFormat="1" applyFont="1" applyFill="1" applyBorder="1" applyAlignment="1" applyProtection="1">
      <alignment vertical="center"/>
      <protection/>
    </xf>
    <xf numFmtId="176" fontId="22" fillId="4" borderId="0" xfId="0" applyNumberFormat="1" applyFont="1" applyFill="1" applyBorder="1" applyAlignment="1">
      <alignment vertical="center"/>
    </xf>
    <xf numFmtId="165" fontId="21" fillId="4" borderId="29" xfId="0" applyNumberFormat="1" applyFont="1" applyFill="1" applyBorder="1" applyAlignment="1">
      <alignment vertical="center"/>
    </xf>
    <xf numFmtId="165" fontId="21" fillId="4" borderId="32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right"/>
    </xf>
    <xf numFmtId="177" fontId="9" fillId="7" borderId="55" xfId="0" applyNumberFormat="1" applyFont="1" applyFill="1" applyBorder="1" applyAlignment="1">
      <alignment horizontal="center"/>
    </xf>
    <xf numFmtId="178" fontId="9" fillId="7" borderId="55" xfId="0" applyNumberFormat="1" applyFont="1" applyFill="1" applyBorder="1" applyAlignment="1">
      <alignment horizontal="center"/>
    </xf>
    <xf numFmtId="179" fontId="9" fillId="7" borderId="62" xfId="0" applyNumberFormat="1" applyFont="1" applyFill="1" applyBorder="1" applyAlignment="1">
      <alignment horizontal="center"/>
    </xf>
    <xf numFmtId="180" fontId="5" fillId="0" borderId="10" xfId="0" applyNumberFormat="1" applyFont="1" applyFill="1" applyBorder="1" applyAlignment="1" applyProtection="1">
      <alignment/>
      <protection locked="0"/>
    </xf>
    <xf numFmtId="0" fontId="19" fillId="4" borderId="21" xfId="0" applyFont="1" applyFill="1" applyBorder="1" applyAlignment="1">
      <alignment horizontal="right"/>
    </xf>
    <xf numFmtId="0" fontId="6" fillId="4" borderId="25" xfId="61" applyFont="1" applyFill="1" applyBorder="1" applyAlignment="1">
      <alignment horizontal="centerContinuous"/>
      <protection/>
    </xf>
    <xf numFmtId="0" fontId="6" fillId="4" borderId="26" xfId="61" applyFont="1" applyFill="1" applyBorder="1" applyAlignment="1">
      <alignment horizontal="centerContinuous"/>
      <protection/>
    </xf>
    <xf numFmtId="0" fontId="6" fillId="4" borderId="27" xfId="61" applyFont="1" applyFill="1" applyBorder="1" applyAlignment="1">
      <alignment horizontal="centerContinuous"/>
      <protection/>
    </xf>
    <xf numFmtId="0" fontId="4" fillId="0" borderId="0" xfId="61">
      <alignment/>
      <protection/>
    </xf>
    <xf numFmtId="0" fontId="0" fillId="4" borderId="28" xfId="61" applyFont="1" applyFill="1" applyBorder="1" applyAlignment="1">
      <alignment horizontal="centerContinuous"/>
      <protection/>
    </xf>
    <xf numFmtId="0" fontId="4" fillId="4" borderId="0" xfId="61" applyFill="1" applyBorder="1" applyAlignment="1">
      <alignment horizontal="centerContinuous"/>
      <protection/>
    </xf>
    <xf numFmtId="0" fontId="4" fillId="4" borderId="29" xfId="61" applyFill="1" applyBorder="1" applyAlignment="1">
      <alignment horizontal="centerContinuous"/>
      <protection/>
    </xf>
    <xf numFmtId="0" fontId="4" fillId="4" borderId="28" xfId="61" applyFill="1" applyBorder="1">
      <alignment/>
      <protection/>
    </xf>
    <xf numFmtId="0" fontId="4" fillId="4" borderId="0" xfId="61" applyFill="1" applyBorder="1" applyAlignment="1">
      <alignment horizontal="center"/>
      <protection/>
    </xf>
    <xf numFmtId="0" fontId="4" fillId="4" borderId="0" xfId="61" applyFill="1" applyBorder="1">
      <alignment/>
      <protection/>
    </xf>
    <xf numFmtId="0" fontId="4" fillId="4" borderId="29" xfId="61" applyFill="1" applyBorder="1">
      <alignment/>
      <protection/>
    </xf>
    <xf numFmtId="0" fontId="4" fillId="4" borderId="50" xfId="61" applyFill="1" applyBorder="1" applyAlignment="1">
      <alignment horizontal="center"/>
      <protection/>
    </xf>
    <xf numFmtId="0" fontId="4" fillId="4" borderId="40" xfId="61" applyFill="1" applyBorder="1" applyAlignment="1">
      <alignment horizontal="center"/>
      <protection/>
    </xf>
    <xf numFmtId="0" fontId="4" fillId="4" borderId="47" xfId="61" applyFill="1" applyBorder="1" applyAlignment="1">
      <alignment horizontal="center"/>
      <protection/>
    </xf>
    <xf numFmtId="0" fontId="4" fillId="4" borderId="49" xfId="61" applyFill="1" applyBorder="1" applyAlignment="1">
      <alignment horizontal="center"/>
      <protection/>
    </xf>
    <xf numFmtId="0" fontId="4" fillId="4" borderId="51" xfId="61" applyFill="1" applyBorder="1" applyAlignment="1">
      <alignment horizontal="center"/>
      <protection/>
    </xf>
    <xf numFmtId="0" fontId="4" fillId="4" borderId="41" xfId="61" applyFill="1" applyBorder="1" applyAlignment="1">
      <alignment horizontal="center"/>
      <protection/>
    </xf>
    <xf numFmtId="0" fontId="4" fillId="4" borderId="63" xfId="61" applyFill="1" applyBorder="1" applyAlignment="1">
      <alignment horizontal="center"/>
      <protection/>
    </xf>
    <xf numFmtId="0" fontId="4" fillId="4" borderId="52" xfId="61" applyFill="1" applyBorder="1" applyAlignment="1">
      <alignment horizontal="center"/>
      <protection/>
    </xf>
    <xf numFmtId="0" fontId="4" fillId="4" borderId="28" xfId="61" applyFill="1" applyBorder="1" applyAlignment="1">
      <alignment horizontal="right"/>
      <protection/>
    </xf>
    <xf numFmtId="0" fontId="5" fillId="0" borderId="10" xfId="61" applyFont="1" applyFill="1" applyBorder="1" applyProtection="1">
      <alignment/>
      <protection locked="0"/>
    </xf>
    <xf numFmtId="0" fontId="4" fillId="4" borderId="49" xfId="61" applyFill="1" applyBorder="1">
      <alignment/>
      <protection/>
    </xf>
    <xf numFmtId="0" fontId="4" fillId="4" borderId="47" xfId="61" applyFill="1" applyBorder="1">
      <alignment/>
      <protection/>
    </xf>
    <xf numFmtId="0" fontId="4" fillId="4" borderId="0" xfId="61" applyFill="1" applyBorder="1" applyAlignment="1">
      <alignment horizontal="right"/>
      <protection/>
    </xf>
    <xf numFmtId="0" fontId="4" fillId="4" borderId="30" xfId="61" applyFill="1" applyBorder="1">
      <alignment/>
      <protection/>
    </xf>
    <xf numFmtId="0" fontId="4" fillId="4" borderId="31" xfId="61" applyFill="1" applyBorder="1">
      <alignment/>
      <protection/>
    </xf>
    <xf numFmtId="0" fontId="4" fillId="4" borderId="32" xfId="61" applyFill="1" applyBorder="1">
      <alignment/>
      <protection/>
    </xf>
    <xf numFmtId="0" fontId="4" fillId="4" borderId="51" xfId="61" applyFont="1" applyFill="1" applyBorder="1" applyAlignment="1">
      <alignment horizontal="center"/>
      <protection/>
    </xf>
    <xf numFmtId="0" fontId="4" fillId="4" borderId="28" xfId="61" applyFont="1" applyFill="1" applyBorder="1" applyAlignment="1">
      <alignment horizontal="right"/>
      <protection/>
    </xf>
    <xf numFmtId="0" fontId="0" fillId="4" borderId="0" xfId="0" applyFill="1" applyBorder="1" applyAlignment="1">
      <alignment/>
    </xf>
    <xf numFmtId="7" fontId="0" fillId="4" borderId="0" xfId="0" applyNumberFormat="1" applyFill="1" applyBorder="1" applyAlignment="1">
      <alignment/>
    </xf>
    <xf numFmtId="0" fontId="0" fillId="7" borderId="31" xfId="0" applyFill="1" applyBorder="1" applyAlignment="1">
      <alignment horizontal="right"/>
    </xf>
    <xf numFmtId="7" fontId="4" fillId="7" borderId="31" xfId="0" applyNumberFormat="1" applyFont="1" applyFill="1" applyBorder="1" applyAlignment="1">
      <alignment horizontal="center"/>
    </xf>
    <xf numFmtId="0" fontId="0" fillId="7" borderId="38" xfId="0" applyFill="1" applyBorder="1" applyAlignment="1">
      <alignment horizontal="right"/>
    </xf>
    <xf numFmtId="0" fontId="0" fillId="7" borderId="32" xfId="0" applyFill="1" applyBorder="1" applyAlignment="1">
      <alignment horizontal="left"/>
    </xf>
    <xf numFmtId="0" fontId="0" fillId="7" borderId="38" xfId="0" applyFill="1" applyBorder="1" applyAlignment="1">
      <alignment/>
    </xf>
    <xf numFmtId="0" fontId="0" fillId="7" borderId="38" xfId="0" applyFont="1" applyFill="1" applyBorder="1" applyAlignment="1">
      <alignment horizontal="center"/>
    </xf>
    <xf numFmtId="0" fontId="0" fillId="7" borderId="31" xfId="0" applyNumberFormat="1" applyFont="1" applyFill="1" applyBorder="1" applyAlignment="1">
      <alignment horizontal="center"/>
    </xf>
    <xf numFmtId="0" fontId="0" fillId="7" borderId="31" xfId="0" applyFill="1" applyBorder="1" applyAlignment="1">
      <alignment horizontal="left"/>
    </xf>
    <xf numFmtId="0" fontId="0" fillId="7" borderId="31" xfId="0" applyNumberFormat="1" applyFont="1" applyFill="1" applyBorder="1" applyAlignment="1">
      <alignment horizontal="right"/>
    </xf>
    <xf numFmtId="7" fontId="0" fillId="7" borderId="31" xfId="0" applyNumberFormat="1" applyFont="1" applyFill="1" applyBorder="1" applyAlignment="1">
      <alignment horizontal="left"/>
    </xf>
    <xf numFmtId="7" fontId="0" fillId="7" borderId="38" xfId="0" applyNumberFormat="1" applyFill="1" applyBorder="1" applyAlignment="1">
      <alignment horizontal="right"/>
    </xf>
    <xf numFmtId="7" fontId="0" fillId="7" borderId="38" xfId="0" applyNumberFormat="1" applyFont="1" applyFill="1" applyBorder="1" applyAlignment="1">
      <alignment horizontal="left"/>
    </xf>
    <xf numFmtId="7" fontId="0" fillId="7" borderId="39" xfId="0" applyNumberFormat="1" applyFill="1" applyBorder="1" applyAlignment="1">
      <alignment horizontal="left"/>
    </xf>
    <xf numFmtId="7" fontId="0" fillId="7" borderId="0" xfId="0" applyNumberFormat="1" applyFont="1" applyFill="1" applyBorder="1" applyAlignment="1">
      <alignment horizontal="right"/>
    </xf>
    <xf numFmtId="7" fontId="5" fillId="0" borderId="64" xfId="0" applyNumberFormat="1" applyFont="1" applyFill="1" applyBorder="1" applyAlignment="1" applyProtection="1">
      <alignment/>
      <protection locked="0"/>
    </xf>
    <xf numFmtId="0" fontId="4" fillId="4" borderId="0" xfId="0" applyFont="1" applyFill="1" applyBorder="1" applyAlignment="1">
      <alignment/>
    </xf>
    <xf numFmtId="0" fontId="12" fillId="4" borderId="12" xfId="60" applyFont="1" applyFill="1" applyBorder="1" applyAlignment="1">
      <alignment horizontal="centerContinuous"/>
      <protection/>
    </xf>
    <xf numFmtId="0" fontId="12" fillId="4" borderId="13" xfId="60" applyFont="1" applyFill="1" applyBorder="1" applyAlignment="1">
      <alignment horizontal="centerContinuous"/>
      <protection/>
    </xf>
    <xf numFmtId="0" fontId="12" fillId="4" borderId="14" xfId="60" applyFont="1" applyFill="1" applyBorder="1" applyAlignment="1">
      <alignment horizontal="centerContinuous"/>
      <protection/>
    </xf>
    <xf numFmtId="0" fontId="4" fillId="4" borderId="0" xfId="60" applyFont="1" applyFill="1" applyAlignment="1">
      <alignment horizontal="right"/>
      <protection/>
    </xf>
    <xf numFmtId="0" fontId="4" fillId="4" borderId="16" xfId="60" applyFont="1" applyFill="1" applyBorder="1">
      <alignment/>
      <protection/>
    </xf>
    <xf numFmtId="0" fontId="4" fillId="0" borderId="0" xfId="60" applyFill="1" applyBorder="1">
      <alignment/>
      <protection/>
    </xf>
    <xf numFmtId="0" fontId="4" fillId="4" borderId="18" xfId="60" applyFill="1" applyBorder="1" applyAlignment="1">
      <alignment/>
      <protection/>
    </xf>
    <xf numFmtId="0" fontId="4" fillId="4" borderId="19" xfId="60" applyFill="1" applyBorder="1" applyAlignment="1">
      <alignment/>
      <protection/>
    </xf>
    <xf numFmtId="0" fontId="4" fillId="4" borderId="21" xfId="60" applyFill="1" applyBorder="1" applyAlignment="1">
      <alignment/>
      <protection/>
    </xf>
    <xf numFmtId="0" fontId="4" fillId="4" borderId="15" xfId="60" applyFont="1" applyFill="1" applyBorder="1" applyAlignment="1">
      <alignment horizontal="centerContinuous"/>
      <protection/>
    </xf>
    <xf numFmtId="0" fontId="4" fillId="4" borderId="0" xfId="60" applyFill="1" applyAlignment="1">
      <alignment horizontal="centerContinuous"/>
      <protection/>
    </xf>
    <xf numFmtId="0" fontId="4" fillId="4" borderId="16" xfId="60" applyFill="1" applyBorder="1" applyAlignment="1">
      <alignment horizontal="centerContinuous"/>
      <protection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165" fontId="0" fillId="0" borderId="0" xfId="0" applyNumberFormat="1" applyAlignment="1" applyProtection="1">
      <alignment horizontal="centerContinuous"/>
      <protection/>
    </xf>
    <xf numFmtId="175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75" fontId="0" fillId="0" borderId="0" xfId="0" applyNumberFormat="1" applyBorder="1" applyAlignment="1" applyProtection="1">
      <alignment horizontal="righ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2" fontId="0" fillId="0" borderId="0" xfId="42" applyNumberFormat="1" applyFont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18" borderId="56" xfId="0" applyFill="1" applyBorder="1" applyAlignment="1">
      <alignment/>
    </xf>
    <xf numFmtId="0" fontId="0" fillId="18" borderId="65" xfId="0" applyFill="1" applyBorder="1" applyAlignment="1">
      <alignment/>
    </xf>
    <xf numFmtId="0" fontId="0" fillId="18" borderId="65" xfId="0" applyFill="1" applyBorder="1" applyAlignment="1">
      <alignment horizontal="center"/>
    </xf>
    <xf numFmtId="0" fontId="0" fillId="18" borderId="66" xfId="0" applyFill="1" applyBorder="1" applyAlignment="1">
      <alignment/>
    </xf>
    <xf numFmtId="0" fontId="0" fillId="18" borderId="50" xfId="0" applyFill="1" applyBorder="1" applyAlignment="1">
      <alignment horizontal="center"/>
    </xf>
    <xf numFmtId="0" fontId="8" fillId="18" borderId="0" xfId="0" applyFont="1" applyFill="1" applyBorder="1" applyAlignment="1">
      <alignment horizontal="center"/>
    </xf>
    <xf numFmtId="0" fontId="8" fillId="18" borderId="67" xfId="0" applyFont="1" applyFill="1" applyBorder="1" applyAlignment="1">
      <alignment horizontal="center"/>
    </xf>
    <xf numFmtId="0" fontId="0" fillId="18" borderId="50" xfId="0" applyFill="1" applyBorder="1" applyAlignment="1">
      <alignment/>
    </xf>
    <xf numFmtId="0" fontId="0" fillId="18" borderId="0" xfId="0" applyFill="1" applyBorder="1" applyAlignment="1">
      <alignment horizontal="center"/>
    </xf>
    <xf numFmtId="0" fontId="0" fillId="18" borderId="67" xfId="0" applyFill="1" applyBorder="1" applyAlignment="1">
      <alignment horizontal="center"/>
    </xf>
    <xf numFmtId="0" fontId="0" fillId="0" borderId="0" xfId="0" applyAlignment="1">
      <alignment/>
    </xf>
    <xf numFmtId="0" fontId="0" fillId="18" borderId="51" xfId="0" applyFill="1" applyBorder="1" applyAlignment="1">
      <alignment/>
    </xf>
    <xf numFmtId="0" fontId="0" fillId="18" borderId="54" xfId="0" applyFill="1" applyBorder="1" applyAlignment="1">
      <alignment/>
    </xf>
    <xf numFmtId="0" fontId="0" fillId="18" borderId="68" xfId="0" applyFill="1" applyBorder="1" applyAlignment="1">
      <alignment/>
    </xf>
    <xf numFmtId="0" fontId="0" fillId="19" borderId="56" xfId="0" applyFill="1" applyBorder="1" applyAlignment="1">
      <alignment/>
    </xf>
    <xf numFmtId="0" fontId="0" fillId="19" borderId="65" xfId="0" applyFill="1" applyBorder="1" applyAlignment="1">
      <alignment/>
    </xf>
    <xf numFmtId="0" fontId="0" fillId="19" borderId="65" xfId="0" applyFill="1" applyBorder="1" applyAlignment="1">
      <alignment/>
    </xf>
    <xf numFmtId="0" fontId="0" fillId="19" borderId="66" xfId="0" applyFill="1" applyBorder="1" applyAlignment="1">
      <alignment/>
    </xf>
    <xf numFmtId="0" fontId="0" fillId="19" borderId="50" xfId="0" applyFill="1" applyBorder="1" applyAlignment="1">
      <alignment horizontal="left"/>
    </xf>
    <xf numFmtId="0" fontId="8" fillId="19" borderId="0" xfId="0" applyFon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0" fillId="19" borderId="67" xfId="0" applyFill="1" applyBorder="1" applyAlignment="1">
      <alignment/>
    </xf>
    <xf numFmtId="0" fontId="0" fillId="19" borderId="50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51" xfId="0" applyFill="1" applyBorder="1" applyAlignment="1">
      <alignment/>
    </xf>
    <xf numFmtId="0" fontId="0" fillId="19" borderId="54" xfId="0" applyFill="1" applyBorder="1" applyAlignment="1">
      <alignment/>
    </xf>
    <xf numFmtId="0" fontId="0" fillId="19" borderId="68" xfId="0" applyFill="1" applyBorder="1" applyAlignment="1">
      <alignment/>
    </xf>
    <xf numFmtId="0" fontId="0" fillId="18" borderId="50" xfId="0" applyFill="1" applyBorder="1" applyAlignment="1">
      <alignment horizontal="left"/>
    </xf>
    <xf numFmtId="0" fontId="0" fillId="18" borderId="0" xfId="0" applyFill="1" applyBorder="1" applyAlignment="1">
      <alignment/>
    </xf>
    <xf numFmtId="0" fontId="0" fillId="18" borderId="67" xfId="0" applyFill="1" applyBorder="1" applyAlignment="1">
      <alignment/>
    </xf>
    <xf numFmtId="0" fontId="0" fillId="18" borderId="50" xfId="0" applyFill="1" applyBorder="1" applyAlignment="1">
      <alignment/>
    </xf>
    <xf numFmtId="0" fontId="0" fillId="18" borderId="51" xfId="0" applyFill="1" applyBorder="1" applyAlignment="1">
      <alignment/>
    </xf>
    <xf numFmtId="0" fontId="0" fillId="18" borderId="54" xfId="0" applyFill="1" applyBorder="1" applyAlignment="1">
      <alignment/>
    </xf>
    <xf numFmtId="0" fontId="0" fillId="18" borderId="68" xfId="0" applyFill="1" applyBorder="1" applyAlignment="1">
      <alignment/>
    </xf>
    <xf numFmtId="0" fontId="0" fillId="19" borderId="66" xfId="0" applyFill="1" applyBorder="1" applyAlignment="1">
      <alignment/>
    </xf>
    <xf numFmtId="0" fontId="13" fillId="19" borderId="56" xfId="0" applyFont="1" applyFill="1" applyBorder="1" applyAlignment="1">
      <alignment horizontal="centerContinuous"/>
    </xf>
    <xf numFmtId="0" fontId="13" fillId="19" borderId="65" xfId="0" applyFont="1" applyFill="1" applyBorder="1" applyAlignment="1">
      <alignment horizontal="centerContinuous"/>
    </xf>
    <xf numFmtId="0" fontId="13" fillId="19" borderId="66" xfId="0" applyFont="1" applyFill="1" applyBorder="1" applyAlignment="1">
      <alignment horizontal="centerContinuous"/>
    </xf>
    <xf numFmtId="0" fontId="24" fillId="19" borderId="56" xfId="0" applyFont="1" applyFill="1" applyBorder="1" applyAlignment="1">
      <alignment horizontal="centerContinuous"/>
    </xf>
    <xf numFmtId="0" fontId="24" fillId="19" borderId="66" xfId="0" applyFont="1" applyFill="1" applyBorder="1" applyAlignment="1">
      <alignment horizontal="centerContinuous"/>
    </xf>
    <xf numFmtId="0" fontId="8" fillId="19" borderId="50" xfId="0" applyFont="1" applyFill="1" applyBorder="1" applyAlignment="1">
      <alignment horizontal="right"/>
    </xf>
    <xf numFmtId="0" fontId="0" fillId="0" borderId="45" xfId="0" applyNumberFormat="1" applyFill="1" applyBorder="1" applyAlignment="1" applyProtection="1">
      <alignment/>
      <protection locked="0"/>
    </xf>
    <xf numFmtId="0" fontId="0" fillId="19" borderId="50" xfId="0" applyNumberFormat="1" applyFill="1" applyBorder="1" applyAlignment="1">
      <alignment/>
    </xf>
    <xf numFmtId="0" fontId="9" fillId="7" borderId="69" xfId="0" applyFont="1" applyFill="1" applyBorder="1" applyAlignment="1">
      <alignment horizontal="center"/>
    </xf>
    <xf numFmtId="179" fontId="9" fillId="7" borderId="70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5" fillId="0" borderId="64" xfId="0" applyNumberFormat="1" applyFont="1" applyFill="1" applyBorder="1" applyAlignment="1" applyProtection="1">
      <alignment/>
      <protection locked="0"/>
    </xf>
    <xf numFmtId="0" fontId="9" fillId="4" borderId="0" xfId="0" applyFont="1" applyFill="1" applyBorder="1" applyAlignment="1">
      <alignment horizontal="center"/>
    </xf>
    <xf numFmtId="179" fontId="9" fillId="4" borderId="0" xfId="0" applyNumberFormat="1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179" fontId="9" fillId="4" borderId="31" xfId="0" applyNumberFormat="1" applyFont="1" applyFill="1" applyBorder="1" applyAlignment="1">
      <alignment horizontal="center"/>
    </xf>
    <xf numFmtId="0" fontId="0" fillId="4" borderId="67" xfId="0" applyNumberFormat="1" applyFill="1" applyBorder="1" applyAlignment="1" applyProtection="1">
      <alignment/>
      <protection/>
    </xf>
    <xf numFmtId="0" fontId="0" fillId="20" borderId="71" xfId="0" applyNumberFormat="1" applyFill="1" applyBorder="1" applyAlignment="1" applyProtection="1">
      <alignment/>
      <protection/>
    </xf>
    <xf numFmtId="0" fontId="0" fillId="20" borderId="72" xfId="0" applyNumberFormat="1" applyFill="1" applyBorder="1" applyAlignment="1" applyProtection="1">
      <alignment horizontal="right"/>
      <protection/>
    </xf>
    <xf numFmtId="0" fontId="0" fillId="20" borderId="73" xfId="0" applyNumberFormat="1" applyFill="1" applyBorder="1" applyAlignment="1" applyProtection="1">
      <alignment/>
      <protection/>
    </xf>
    <xf numFmtId="0" fontId="0" fillId="20" borderId="74" xfId="0" applyFill="1" applyBorder="1" applyAlignment="1">
      <alignment horizontal="center"/>
    </xf>
    <xf numFmtId="0" fontId="0" fillId="20" borderId="50" xfId="0" applyFill="1" applyBorder="1" applyAlignment="1">
      <alignment horizontal="center"/>
    </xf>
    <xf numFmtId="0" fontId="0" fillId="20" borderId="75" xfId="0" applyFill="1" applyBorder="1" applyAlignment="1">
      <alignment horizontal="center"/>
    </xf>
    <xf numFmtId="0" fontId="0" fillId="20" borderId="76" xfId="0" applyFill="1" applyBorder="1" applyAlignment="1">
      <alignment horizontal="center"/>
    </xf>
    <xf numFmtId="0" fontId="0" fillId="20" borderId="77" xfId="0" applyNumberFormat="1" applyFill="1" applyBorder="1" applyAlignment="1" applyProtection="1">
      <alignment horizontal="center"/>
      <protection/>
    </xf>
    <xf numFmtId="0" fontId="0" fillId="4" borderId="76" xfId="0" applyNumberFormat="1" applyFill="1" applyBorder="1" applyAlignment="1" applyProtection="1">
      <alignment horizontal="left"/>
      <protection/>
    </xf>
    <xf numFmtId="0" fontId="0" fillId="20" borderId="72" xfId="0" applyNumberFormat="1" applyFill="1" applyBorder="1" applyAlignment="1" applyProtection="1">
      <alignment/>
      <protection/>
    </xf>
    <xf numFmtId="0" fontId="0" fillId="20" borderId="78" xfId="0" applyFill="1" applyBorder="1" applyAlignment="1">
      <alignment horizontal="center"/>
    </xf>
    <xf numFmtId="0" fontId="0" fillId="20" borderId="79" xfId="0" applyFill="1" applyBorder="1" applyAlignment="1">
      <alignment horizontal="center"/>
    </xf>
    <xf numFmtId="0" fontId="0" fillId="4" borderId="47" xfId="0" applyNumberFormat="1" applyFill="1" applyBorder="1" applyAlignment="1" applyProtection="1">
      <alignment horizontal="centerContinuous"/>
      <protection/>
    </xf>
    <xf numFmtId="0" fontId="0" fillId="4" borderId="63" xfId="0" applyNumberFormat="1" applyFill="1" applyBorder="1" applyAlignment="1" applyProtection="1">
      <alignment horizontal="centerContinuous"/>
      <protection/>
    </xf>
    <xf numFmtId="0" fontId="0" fillId="4" borderId="47" xfId="0" applyNumberFormat="1" applyFill="1" applyBorder="1" applyAlignment="1" applyProtection="1">
      <alignment horizontal="right"/>
      <protection/>
    </xf>
    <xf numFmtId="0" fontId="0" fillId="20" borderId="80" xfId="0" applyFill="1" applyBorder="1" applyAlignment="1">
      <alignment horizontal="center"/>
    </xf>
    <xf numFmtId="0" fontId="0" fillId="20" borderId="81" xfId="0" applyNumberFormat="1" applyFill="1" applyBorder="1" applyAlignment="1" applyProtection="1">
      <alignment horizontal="center"/>
      <protection/>
    </xf>
    <xf numFmtId="0" fontId="0" fillId="20" borderId="47" xfId="0" applyFill="1" applyBorder="1" applyAlignment="1">
      <alignment horizontal="center"/>
    </xf>
    <xf numFmtId="0" fontId="0" fillId="4" borderId="47" xfId="0" applyNumberFormat="1" applyFill="1" applyBorder="1" applyAlignment="1" applyProtection="1">
      <alignment/>
      <protection/>
    </xf>
    <xf numFmtId="0" fontId="0" fillId="4" borderId="81" xfId="0" applyNumberFormat="1" applyFill="1" applyBorder="1" applyAlignment="1" applyProtection="1">
      <alignment/>
      <protection/>
    </xf>
    <xf numFmtId="0" fontId="0" fillId="4" borderId="82" xfId="0" applyFill="1" applyBorder="1" applyAlignment="1">
      <alignment/>
    </xf>
    <xf numFmtId="0" fontId="0" fillId="4" borderId="76" xfId="0" applyFill="1" applyBorder="1" applyAlignment="1">
      <alignment/>
    </xf>
    <xf numFmtId="0" fontId="0" fillId="4" borderId="81" xfId="0" applyFill="1" applyBorder="1" applyAlignment="1">
      <alignment/>
    </xf>
    <xf numFmtId="0" fontId="0" fillId="4" borderId="0" xfId="0" applyNumberFormat="1" applyFill="1" applyBorder="1" applyAlignment="1" applyProtection="1">
      <alignment horizontal="center"/>
      <protection/>
    </xf>
    <xf numFmtId="0" fontId="0" fillId="4" borderId="67" xfId="0" applyFill="1" applyBorder="1" applyAlignment="1">
      <alignment/>
    </xf>
    <xf numFmtId="0" fontId="0" fillId="4" borderId="67" xfId="0" applyNumberFormat="1" applyFill="1" applyBorder="1" applyAlignment="1" applyProtection="1">
      <alignment horizontal="centerContinuous"/>
      <protection/>
    </xf>
    <xf numFmtId="0" fontId="0" fillId="4" borderId="68" xfId="0" applyNumberFormat="1" applyFill="1" applyBorder="1" applyAlignment="1" applyProtection="1">
      <alignment horizontal="centerContinuous"/>
      <protection/>
    </xf>
    <xf numFmtId="0" fontId="0" fillId="4" borderId="67" xfId="0" applyNumberFormat="1" applyFill="1" applyBorder="1" applyAlignment="1" applyProtection="1">
      <alignment horizontal="left"/>
      <protection/>
    </xf>
    <xf numFmtId="0" fontId="0" fillId="4" borderId="83" xfId="0" applyNumberFormat="1" applyFill="1" applyBorder="1" applyAlignment="1" applyProtection="1">
      <alignment/>
      <protection/>
    </xf>
    <xf numFmtId="0" fontId="0" fillId="4" borderId="56" xfId="0" applyNumberFormat="1" applyFill="1" applyBorder="1" applyAlignment="1" applyProtection="1">
      <alignment horizontal="center"/>
      <protection/>
    </xf>
    <xf numFmtId="0" fontId="0" fillId="4" borderId="65" xfId="0" applyNumberFormat="1" applyFill="1" applyBorder="1" applyAlignment="1" applyProtection="1">
      <alignment/>
      <protection/>
    </xf>
    <xf numFmtId="0" fontId="0" fillId="4" borderId="84" xfId="0" applyNumberFormat="1" applyFill="1" applyBorder="1" applyAlignment="1" applyProtection="1">
      <alignment horizontal="centerContinuous"/>
      <protection/>
    </xf>
    <xf numFmtId="0" fontId="0" fillId="4" borderId="66" xfId="0" applyNumberFormat="1" applyFill="1" applyBorder="1" applyAlignment="1" applyProtection="1">
      <alignment horizontal="centerContinuous"/>
      <protection/>
    </xf>
    <xf numFmtId="0" fontId="9" fillId="4" borderId="0" xfId="0" applyFont="1" applyFill="1" applyBorder="1" applyAlignment="1">
      <alignment/>
    </xf>
    <xf numFmtId="0" fontId="0" fillId="20" borderId="85" xfId="0" applyNumberFormat="1" applyFill="1" applyBorder="1" applyAlignment="1" applyProtection="1">
      <alignment horizontal="center"/>
      <protection/>
    </xf>
    <xf numFmtId="0" fontId="0" fillId="20" borderId="86" xfId="0" applyNumberFormat="1" applyFill="1" applyBorder="1" applyAlignment="1" applyProtection="1">
      <alignment horizontal="center"/>
      <protection/>
    </xf>
    <xf numFmtId="0" fontId="0" fillId="20" borderId="87" xfId="0" applyNumberFormat="1" applyFill="1" applyBorder="1" applyAlignment="1" applyProtection="1">
      <alignment horizontal="center"/>
      <protection/>
    </xf>
    <xf numFmtId="0" fontId="0" fillId="20" borderId="88" xfId="0" applyNumberFormat="1" applyFill="1" applyBorder="1" applyAlignment="1" applyProtection="1">
      <alignment horizontal="center"/>
      <protection/>
    </xf>
    <xf numFmtId="0" fontId="0" fillId="4" borderId="50" xfId="0" applyFill="1" applyBorder="1" applyAlignment="1">
      <alignment/>
    </xf>
    <xf numFmtId="0" fontId="0" fillId="21" borderId="89" xfId="0" applyFill="1" applyBorder="1" applyAlignment="1">
      <alignment/>
    </xf>
    <xf numFmtId="0" fontId="0" fillId="21" borderId="90" xfId="0" applyFill="1" applyBorder="1" applyAlignment="1">
      <alignment/>
    </xf>
    <xf numFmtId="0" fontId="0" fillId="21" borderId="91" xfId="0" applyFill="1" applyBorder="1" applyAlignment="1">
      <alignment/>
    </xf>
    <xf numFmtId="0" fontId="0" fillId="20" borderId="51" xfId="0" applyFill="1" applyBorder="1" applyAlignment="1">
      <alignment horizontal="center"/>
    </xf>
    <xf numFmtId="0" fontId="0" fillId="20" borderId="92" xfId="0" applyFill="1" applyBorder="1" applyAlignment="1">
      <alignment horizontal="center"/>
    </xf>
    <xf numFmtId="0" fontId="0" fillId="20" borderId="63" xfId="0" applyFill="1" applyBorder="1" applyAlignment="1">
      <alignment horizontal="center"/>
    </xf>
    <xf numFmtId="0" fontId="0" fillId="20" borderId="93" xfId="0" applyFill="1" applyBorder="1" applyAlignment="1">
      <alignment horizontal="center"/>
    </xf>
    <xf numFmtId="0" fontId="25" fillId="4" borderId="50" xfId="0" applyNumberFormat="1" applyFont="1" applyFill="1" applyBorder="1" applyAlignment="1" applyProtection="1">
      <alignment/>
      <protection/>
    </xf>
    <xf numFmtId="0" fontId="8" fillId="4" borderId="0" xfId="0" applyFont="1" applyFill="1" applyAlignment="1" applyProtection="1">
      <alignment horizontal="centerContinuous"/>
      <protection/>
    </xf>
    <xf numFmtId="0" fontId="0" fillId="4" borderId="0" xfId="0" applyFill="1" applyAlignment="1" applyProtection="1">
      <alignment/>
      <protection/>
    </xf>
    <xf numFmtId="0" fontId="10" fillId="4" borderId="28" xfId="0" applyFont="1" applyFill="1" applyBorder="1" applyAlignment="1" applyProtection="1">
      <alignment horizontal="centerContinuous"/>
      <protection/>
    </xf>
    <xf numFmtId="0" fontId="0" fillId="4" borderId="28" xfId="0" applyFont="1" applyFill="1" applyBorder="1" applyAlignment="1" applyProtection="1">
      <alignment horizontal="right"/>
      <protection/>
    </xf>
    <xf numFmtId="0" fontId="5" fillId="0" borderId="94" xfId="0" applyFont="1" applyFill="1" applyBorder="1" applyAlignment="1" applyProtection="1">
      <alignment horizontal="center"/>
      <protection locked="0"/>
    </xf>
    <xf numFmtId="0" fontId="5" fillId="0" borderId="94" xfId="0" applyNumberFormat="1" applyFont="1" applyFill="1" applyBorder="1" applyAlignment="1" applyProtection="1">
      <alignment horizontal="center"/>
      <protection locked="0"/>
    </xf>
    <xf numFmtId="0" fontId="17" fillId="0" borderId="10" xfId="0" applyNumberFormat="1" applyFont="1" applyFill="1" applyBorder="1" applyAlignment="1" applyProtection="1">
      <alignment horizontal="center"/>
      <protection locked="0"/>
    </xf>
    <xf numFmtId="0" fontId="7" fillId="4" borderId="28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/>
      <protection/>
    </xf>
    <xf numFmtId="0" fontId="0" fillId="4" borderId="95" xfId="0" applyFill="1" applyBorder="1" applyAlignment="1" applyProtection="1">
      <alignment horizontal="right"/>
      <protection/>
    </xf>
    <xf numFmtId="0" fontId="0" fillId="4" borderId="0" xfId="0" applyFill="1" applyAlignment="1" applyProtection="1">
      <alignment horizontal="centerContinuous"/>
      <protection/>
    </xf>
    <xf numFmtId="0" fontId="7" fillId="4" borderId="28" xfId="0" applyFont="1" applyFill="1" applyBorder="1" applyAlignment="1" applyProtection="1">
      <alignment horizontal="centerContinuous"/>
      <protection/>
    </xf>
    <xf numFmtId="0" fontId="7" fillId="4" borderId="0" xfId="0" applyFont="1" applyFill="1" applyBorder="1" applyAlignment="1" applyProtection="1">
      <alignment horizontal="centerContinuous"/>
      <protection/>
    </xf>
    <xf numFmtId="0" fontId="10" fillId="4" borderId="0" xfId="0" applyFont="1" applyFill="1" applyBorder="1" applyAlignment="1" applyProtection="1">
      <alignment horizontal="centerContinuous"/>
      <protection/>
    </xf>
    <xf numFmtId="0" fontId="0" fillId="4" borderId="0" xfId="0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0" fillId="4" borderId="0" xfId="0" applyFill="1" applyBorder="1" applyAlignment="1" applyProtection="1">
      <alignment vertical="top"/>
      <protection/>
    </xf>
    <xf numFmtId="0" fontId="0" fillId="4" borderId="96" xfId="0" applyNumberFormat="1" applyFont="1" applyFill="1" applyBorder="1" applyAlignment="1" applyProtection="1">
      <alignment horizontal="center"/>
      <protection/>
    </xf>
    <xf numFmtId="0" fontId="0" fillId="4" borderId="28" xfId="0" applyFont="1" applyFill="1" applyBorder="1" applyAlignment="1" applyProtection="1">
      <alignment horizontal="centerContinuous"/>
      <protection/>
    </xf>
    <xf numFmtId="0" fontId="0" fillId="4" borderId="28" xfId="0" applyFill="1" applyBorder="1" applyAlignment="1" applyProtection="1">
      <alignment horizontal="centerContinuous"/>
      <protection/>
    </xf>
    <xf numFmtId="0" fontId="4" fillId="0" borderId="0" xfId="58" applyProtection="1">
      <alignment/>
      <protection locked="0"/>
    </xf>
    <xf numFmtId="0" fontId="1" fillId="0" borderId="0" xfId="58" applyFont="1" applyAlignment="1" applyProtection="1">
      <alignment horizontal="right"/>
      <protection locked="0"/>
    </xf>
    <xf numFmtId="0" fontId="4" fillId="0" borderId="54" xfId="58" applyBorder="1" applyProtection="1">
      <alignment/>
      <protection locked="0"/>
    </xf>
    <xf numFmtId="0" fontId="4" fillId="0" borderId="0" xfId="58" applyBorder="1" applyProtection="1">
      <alignment/>
      <protection locked="0"/>
    </xf>
    <xf numFmtId="0" fontId="1" fillId="0" borderId="0" xfId="58" applyFont="1" applyAlignment="1" applyProtection="1">
      <alignment horizontal="center"/>
      <protection locked="0"/>
    </xf>
    <xf numFmtId="0" fontId="4" fillId="0" borderId="0" xfId="58" applyProtection="1" quotePrefix="1">
      <alignment/>
      <protection locked="0"/>
    </xf>
    <xf numFmtId="0" fontId="4" fillId="0" borderId="0" xfId="58" applyFont="1" applyAlignment="1" applyProtection="1">
      <alignment horizontal="right"/>
      <protection locked="0"/>
    </xf>
    <xf numFmtId="0" fontId="1" fillId="0" borderId="97" xfId="58" applyFont="1" applyBorder="1" applyAlignment="1" applyProtection="1">
      <alignment horizontal="centerContinuous"/>
      <protection locked="0"/>
    </xf>
    <xf numFmtId="0" fontId="4" fillId="0" borderId="98" xfId="58" applyBorder="1" applyAlignment="1" applyProtection="1">
      <alignment horizontal="centerContinuous"/>
      <protection locked="0"/>
    </xf>
    <xf numFmtId="0" fontId="1" fillId="0" borderId="99" xfId="58" applyFont="1" applyBorder="1" applyAlignment="1" applyProtection="1">
      <alignment horizontal="center"/>
      <protection locked="0"/>
    </xf>
    <xf numFmtId="0" fontId="1" fillId="0" borderId="100" xfId="58" applyFont="1" applyBorder="1" applyAlignment="1" applyProtection="1">
      <alignment horizontal="center"/>
      <protection locked="0"/>
    </xf>
    <xf numFmtId="0" fontId="1" fillId="0" borderId="97" xfId="58" applyFont="1" applyBorder="1" applyAlignment="1" applyProtection="1">
      <alignment horizontal="center"/>
      <protection locked="0"/>
    </xf>
    <xf numFmtId="0" fontId="1" fillId="0" borderId="101" xfId="58" applyFont="1" applyBorder="1" applyAlignment="1" applyProtection="1">
      <alignment horizontal="center"/>
      <protection locked="0"/>
    </xf>
    <xf numFmtId="182" fontId="4" fillId="0" borderId="102" xfId="58" applyNumberFormat="1" applyBorder="1" applyAlignment="1" applyProtection="1">
      <alignment horizontal="center"/>
      <protection locked="0"/>
    </xf>
    <xf numFmtId="49" fontId="4" fillId="0" borderId="103" xfId="58" applyNumberFormat="1" applyBorder="1" applyAlignment="1" applyProtection="1">
      <alignment horizontal="center"/>
      <protection locked="0"/>
    </xf>
    <xf numFmtId="0" fontId="4" fillId="0" borderId="103" xfId="58" applyBorder="1" applyAlignment="1" applyProtection="1">
      <alignment horizontal="center"/>
      <protection locked="0"/>
    </xf>
    <xf numFmtId="0" fontId="4" fillId="0" borderId="104" xfId="58" applyBorder="1" applyAlignment="1" applyProtection="1">
      <alignment horizontal="center"/>
      <protection locked="0"/>
    </xf>
    <xf numFmtId="0" fontId="4" fillId="0" borderId="105" xfId="58" applyBorder="1" applyAlignment="1" applyProtection="1">
      <alignment horizontal="center"/>
      <protection/>
    </xf>
    <xf numFmtId="182" fontId="4" fillId="0" borderId="106" xfId="58" applyNumberFormat="1" applyBorder="1" applyAlignment="1" applyProtection="1">
      <alignment horizontal="center"/>
      <protection locked="0"/>
    </xf>
    <xf numFmtId="49" fontId="4" fillId="0" borderId="45" xfId="58" applyNumberFormat="1" applyBorder="1" applyAlignment="1" applyProtection="1">
      <alignment horizontal="center"/>
      <protection locked="0"/>
    </xf>
    <xf numFmtId="0" fontId="4" fillId="0" borderId="45" xfId="58" applyBorder="1" applyAlignment="1" applyProtection="1">
      <alignment horizontal="center"/>
      <protection locked="0"/>
    </xf>
    <xf numFmtId="0" fontId="4" fillId="0" borderId="107" xfId="58" applyBorder="1" applyAlignment="1" applyProtection="1">
      <alignment horizontal="center"/>
      <protection locked="0"/>
    </xf>
    <xf numFmtId="0" fontId="4" fillId="0" borderId="108" xfId="58" applyBorder="1" applyAlignment="1" applyProtection="1">
      <alignment horizontal="center"/>
      <protection/>
    </xf>
    <xf numFmtId="182" fontId="4" fillId="0" borderId="109" xfId="58" applyNumberFormat="1" applyBorder="1" applyAlignment="1" applyProtection="1">
      <alignment horizontal="center"/>
      <protection locked="0"/>
    </xf>
    <xf numFmtId="49" fontId="4" fillId="0" borderId="57" xfId="58" applyNumberFormat="1" applyBorder="1" applyAlignment="1" applyProtection="1">
      <alignment horizontal="center"/>
      <protection locked="0"/>
    </xf>
    <xf numFmtId="0" fontId="4" fillId="0" borderId="57" xfId="58" applyBorder="1" applyAlignment="1" applyProtection="1">
      <alignment horizontal="center"/>
      <protection locked="0"/>
    </xf>
    <xf numFmtId="0" fontId="4" fillId="0" borderId="56" xfId="58" applyBorder="1" applyAlignment="1" applyProtection="1">
      <alignment horizontal="center"/>
      <protection locked="0"/>
    </xf>
    <xf numFmtId="182" fontId="4" fillId="0" borderId="110" xfId="58" applyNumberFormat="1" applyBorder="1" applyAlignment="1" applyProtection="1">
      <alignment horizontal="center"/>
      <protection locked="0"/>
    </xf>
    <xf numFmtId="49" fontId="4" fillId="0" borderId="111" xfId="58" applyNumberFormat="1" applyBorder="1" applyAlignment="1" applyProtection="1">
      <alignment horizontal="center"/>
      <protection locked="0"/>
    </xf>
    <xf numFmtId="0" fontId="4" fillId="0" borderId="111" xfId="58" applyBorder="1" applyAlignment="1" applyProtection="1">
      <alignment horizontal="center"/>
      <protection locked="0"/>
    </xf>
    <xf numFmtId="0" fontId="4" fillId="0" borderId="112" xfId="58" applyBorder="1" applyAlignment="1" applyProtection="1">
      <alignment horizontal="center"/>
      <protection locked="0"/>
    </xf>
    <xf numFmtId="0" fontId="4" fillId="0" borderId="113" xfId="58" applyBorder="1" applyAlignment="1" applyProtection="1">
      <alignment horizontal="center"/>
      <protection/>
    </xf>
    <xf numFmtId="0" fontId="4" fillId="0" borderId="114" xfId="58" applyBorder="1" applyAlignment="1" applyProtection="1">
      <alignment horizontal="center"/>
      <protection/>
    </xf>
    <xf numFmtId="0" fontId="4" fillId="0" borderId="115" xfId="58" applyBorder="1" applyAlignment="1" applyProtection="1">
      <alignment horizontal="center"/>
      <protection/>
    </xf>
    <xf numFmtId="0" fontId="4" fillId="0" borderId="116" xfId="58" applyBorder="1" applyAlignment="1" applyProtection="1">
      <alignment horizontal="center"/>
      <protection/>
    </xf>
    <xf numFmtId="0" fontId="4" fillId="0" borderId="0" xfId="58" applyBorder="1" applyAlignment="1" applyProtection="1">
      <alignment horizontal="center"/>
      <protection locked="0"/>
    </xf>
    <xf numFmtId="0" fontId="1" fillId="0" borderId="0" xfId="58" applyFont="1" applyAlignment="1" applyProtection="1">
      <alignment/>
      <protection locked="0"/>
    </xf>
    <xf numFmtId="0" fontId="4" fillId="0" borderId="117" xfId="58" applyBorder="1" applyAlignment="1" applyProtection="1">
      <alignment horizontal="center"/>
      <protection/>
    </xf>
    <xf numFmtId="0" fontId="4" fillId="0" borderId="118" xfId="58" applyBorder="1" applyAlignment="1" applyProtection="1">
      <alignment horizontal="center"/>
      <protection/>
    </xf>
    <xf numFmtId="0" fontId="4" fillId="0" borderId="119" xfId="58" applyBorder="1" applyAlignment="1" applyProtection="1">
      <alignment horizontal="center"/>
      <protection/>
    </xf>
    <xf numFmtId="0" fontId="4" fillId="0" borderId="120" xfId="58" applyBorder="1" applyAlignment="1" applyProtection="1">
      <alignment horizontal="left"/>
      <protection locked="0"/>
    </xf>
    <xf numFmtId="0" fontId="4" fillId="0" borderId="121" xfId="58" applyBorder="1" applyProtection="1">
      <alignment/>
      <protection locked="0"/>
    </xf>
    <xf numFmtId="0" fontId="4" fillId="0" borderId="121" xfId="58" applyBorder="1" applyAlignment="1" applyProtection="1">
      <alignment horizontal="left"/>
      <protection locked="0"/>
    </xf>
    <xf numFmtId="0" fontId="4" fillId="0" borderId="122" xfId="58" applyBorder="1" applyProtection="1">
      <alignment/>
      <protection locked="0"/>
    </xf>
    <xf numFmtId="0" fontId="4" fillId="0" borderId="55" xfId="58" applyBorder="1" applyAlignment="1" applyProtection="1">
      <alignment horizontal="left"/>
      <protection locked="0"/>
    </xf>
    <xf numFmtId="0" fontId="4" fillId="0" borderId="43" xfId="58" applyBorder="1" applyProtection="1">
      <alignment/>
      <protection locked="0"/>
    </xf>
    <xf numFmtId="0" fontId="4" fillId="0" borderId="43" xfId="58" applyBorder="1" applyAlignment="1" applyProtection="1">
      <alignment horizontal="left"/>
      <protection locked="0"/>
    </xf>
    <xf numFmtId="0" fontId="4" fillId="0" borderId="123" xfId="58" applyBorder="1" applyProtection="1">
      <alignment/>
      <protection locked="0"/>
    </xf>
    <xf numFmtId="0" fontId="1" fillId="0" borderId="124" xfId="58" applyFont="1" applyBorder="1" applyAlignment="1" applyProtection="1">
      <alignment horizontal="center"/>
      <protection locked="0"/>
    </xf>
    <xf numFmtId="1" fontId="4" fillId="0" borderId="117" xfId="58" applyNumberFormat="1" applyBorder="1" applyAlignment="1" applyProtection="1">
      <alignment horizontal="center"/>
      <protection/>
    </xf>
    <xf numFmtId="1" fontId="4" fillId="0" borderId="118" xfId="58" applyNumberFormat="1" applyBorder="1" applyAlignment="1" applyProtection="1">
      <alignment horizontal="center"/>
      <protection/>
    </xf>
    <xf numFmtId="1" fontId="4" fillId="0" borderId="119" xfId="58" applyNumberFormat="1" applyBorder="1" applyAlignment="1" applyProtection="1">
      <alignment horizontal="center"/>
      <protection/>
    </xf>
    <xf numFmtId="1" fontId="4" fillId="0" borderId="0" xfId="58" applyNumberFormat="1" applyBorder="1" applyAlignment="1" applyProtection="1">
      <alignment horizontal="center"/>
      <protection locked="0"/>
    </xf>
    <xf numFmtId="0" fontId="4" fillId="0" borderId="51" xfId="58" applyBorder="1" applyAlignment="1" applyProtection="1">
      <alignment horizontal="left"/>
      <protection locked="0"/>
    </xf>
    <xf numFmtId="0" fontId="4" fillId="0" borderId="54" xfId="58" applyBorder="1" applyAlignment="1" applyProtection="1">
      <alignment horizontal="left"/>
      <protection locked="0"/>
    </xf>
    <xf numFmtId="0" fontId="4" fillId="0" borderId="68" xfId="58" applyBorder="1" applyProtection="1">
      <alignment/>
      <protection locked="0"/>
    </xf>
    <xf numFmtId="1" fontId="1" fillId="0" borderId="125" xfId="58" applyNumberFormat="1" applyFont="1" applyBorder="1" applyAlignment="1" applyProtection="1">
      <alignment horizontal="center"/>
      <protection locked="0"/>
    </xf>
    <xf numFmtId="2" fontId="4" fillId="0" borderId="126" xfId="58" applyNumberFormat="1" applyBorder="1" applyAlignment="1" applyProtection="1">
      <alignment horizontal="center"/>
      <protection/>
    </xf>
    <xf numFmtId="2" fontId="4" fillId="0" borderId="127" xfId="58" applyNumberFormat="1" applyBorder="1" applyAlignment="1" applyProtection="1">
      <alignment horizontal="center"/>
      <protection/>
    </xf>
    <xf numFmtId="2" fontId="4" fillId="0" borderId="128" xfId="58" applyNumberFormat="1" applyBorder="1" applyAlignment="1" applyProtection="1">
      <alignment horizontal="center"/>
      <protection/>
    </xf>
    <xf numFmtId="2" fontId="4" fillId="0" borderId="0" xfId="58" applyNumberFormat="1" applyBorder="1" applyAlignment="1" applyProtection="1">
      <alignment horizontal="center"/>
      <protection locked="0"/>
    </xf>
    <xf numFmtId="0" fontId="32" fillId="0" borderId="0" xfId="58" applyFont="1" applyProtection="1">
      <alignment/>
      <protection locked="0"/>
    </xf>
    <xf numFmtId="0" fontId="4" fillId="16" borderId="0" xfId="63" applyFill="1" applyProtection="1">
      <alignment/>
      <protection hidden="1"/>
    </xf>
    <xf numFmtId="0" fontId="4" fillId="16" borderId="0" xfId="63" applyFill="1" applyAlignment="1" applyProtection="1">
      <alignment/>
      <protection hidden="1"/>
    </xf>
    <xf numFmtId="0" fontId="34" fillId="16" borderId="0" xfId="63" applyFont="1" applyFill="1" applyProtection="1">
      <alignment/>
      <protection hidden="1"/>
    </xf>
    <xf numFmtId="0" fontId="34" fillId="16" borderId="0" xfId="63" applyFont="1" applyFill="1" applyProtection="1">
      <alignment/>
      <protection locked="0"/>
    </xf>
    <xf numFmtId="0" fontId="4" fillId="16" borderId="0" xfId="63" applyFill="1" applyAlignment="1" applyProtection="1">
      <alignment horizontal="centerContinuous"/>
      <protection locked="0"/>
    </xf>
    <xf numFmtId="0" fontId="35" fillId="16" borderId="129" xfId="63" applyFont="1" applyFill="1" applyBorder="1" applyAlignment="1" applyProtection="1">
      <alignment horizontal="centerContinuous" vertical="center"/>
      <protection hidden="1"/>
    </xf>
    <xf numFmtId="0" fontId="36" fillId="16" borderId="129" xfId="63" applyFont="1" applyFill="1" applyBorder="1" applyAlignment="1" applyProtection="1">
      <alignment horizontal="centerContinuous"/>
      <protection hidden="1"/>
    </xf>
    <xf numFmtId="0" fontId="36" fillId="16" borderId="130" xfId="63" applyFont="1" applyFill="1" applyBorder="1" applyAlignment="1" applyProtection="1">
      <alignment horizontal="centerContinuous"/>
      <protection hidden="1"/>
    </xf>
    <xf numFmtId="0" fontId="36" fillId="16" borderId="0" xfId="63" applyFont="1" applyFill="1" applyBorder="1" applyAlignment="1" applyProtection="1">
      <alignment/>
      <protection locked="0"/>
    </xf>
    <xf numFmtId="0" fontId="36" fillId="16" borderId="0" xfId="63" applyFont="1" applyFill="1" applyAlignment="1" applyProtection="1">
      <alignment/>
      <protection locked="0"/>
    </xf>
    <xf numFmtId="0" fontId="34" fillId="16" borderId="0" xfId="63" applyFont="1" applyFill="1" applyAlignment="1" applyProtection="1">
      <alignment/>
      <protection locked="0"/>
    </xf>
    <xf numFmtId="0" fontId="37" fillId="16" borderId="0" xfId="63" applyFont="1" applyFill="1" applyProtection="1">
      <alignment/>
      <protection hidden="1"/>
    </xf>
    <xf numFmtId="0" fontId="38" fillId="16" borderId="0" xfId="63" applyFont="1" applyFill="1" applyAlignment="1" applyProtection="1">
      <alignment horizontal="center"/>
      <protection locked="0"/>
    </xf>
    <xf numFmtId="0" fontId="4" fillId="16" borderId="0" xfId="63" applyFill="1" applyProtection="1">
      <alignment/>
      <protection locked="0"/>
    </xf>
    <xf numFmtId="0" fontId="21" fillId="16" borderId="0" xfId="63" applyFont="1" applyFill="1" applyProtection="1">
      <alignment/>
      <protection locked="0"/>
    </xf>
    <xf numFmtId="0" fontId="39" fillId="16" borderId="100" xfId="63" applyFont="1" applyFill="1" applyBorder="1" applyAlignment="1" applyProtection="1">
      <alignment horizontal="center" vertical="center"/>
      <protection locked="0"/>
    </xf>
    <xf numFmtId="0" fontId="4" fillId="16" borderId="0" xfId="63" applyFill="1" applyAlignment="1" applyProtection="1">
      <alignment/>
      <protection locked="0"/>
    </xf>
    <xf numFmtId="0" fontId="34" fillId="16" borderId="0" xfId="63" applyFont="1" applyFill="1" applyAlignment="1" applyProtection="1">
      <alignment horizontal="center"/>
      <protection hidden="1"/>
    </xf>
    <xf numFmtId="0" fontId="40" fillId="16" borderId="0" xfId="63" applyFont="1" applyFill="1" applyProtection="1">
      <alignment/>
      <protection hidden="1"/>
    </xf>
    <xf numFmtId="0" fontId="41" fillId="16" borderId="131" xfId="63" applyFont="1" applyFill="1" applyBorder="1" applyAlignment="1" applyProtection="1">
      <alignment horizontal="center" vertical="center"/>
      <protection hidden="1"/>
    </xf>
    <xf numFmtId="0" fontId="40" fillId="16" borderId="0" xfId="63" applyFont="1" applyFill="1" applyAlignment="1" applyProtection="1">
      <alignment horizontal="center"/>
      <protection hidden="1"/>
    </xf>
    <xf numFmtId="11" fontId="40" fillId="16" borderId="0" xfId="63" applyNumberFormat="1" applyFont="1" applyFill="1" applyProtection="1">
      <alignment/>
      <protection hidden="1"/>
    </xf>
    <xf numFmtId="0" fontId="38" fillId="16" borderId="0" xfId="63" applyFont="1" applyFill="1" applyProtection="1">
      <alignment/>
      <protection hidden="1"/>
    </xf>
    <xf numFmtId="0" fontId="1" fillId="16" borderId="0" xfId="63" applyFont="1" applyFill="1" applyAlignment="1" applyProtection="1">
      <alignment vertical="center"/>
      <protection hidden="1"/>
    </xf>
    <xf numFmtId="0" fontId="34" fillId="16" borderId="0" xfId="63" applyFont="1" applyFill="1" applyAlignment="1" applyProtection="1">
      <alignment/>
      <protection hidden="1"/>
    </xf>
    <xf numFmtId="0" fontId="38" fillId="16" borderId="0" xfId="63" applyFont="1" applyFill="1" applyProtection="1">
      <alignment/>
      <protection locked="0"/>
    </xf>
    <xf numFmtId="0" fontId="35" fillId="16" borderId="130" xfId="63" applyFont="1" applyFill="1" applyBorder="1" applyAlignment="1" applyProtection="1">
      <alignment horizontal="centerContinuous" vertical="center"/>
      <protection hidden="1"/>
    </xf>
    <xf numFmtId="0" fontId="4" fillId="16" borderId="0" xfId="63" applyFill="1" applyAlignment="1" applyProtection="1">
      <alignment horizontal="center"/>
      <protection locked="0"/>
    </xf>
    <xf numFmtId="0" fontId="39" fillId="16" borderId="100" xfId="63" applyFont="1" applyFill="1" applyBorder="1" applyAlignment="1" applyProtection="1">
      <alignment horizontal="center" vertical="center"/>
      <protection locked="0"/>
    </xf>
    <xf numFmtId="0" fontId="44" fillId="16" borderId="0" xfId="63" applyFont="1" applyFill="1" applyAlignment="1" applyProtection="1">
      <alignment/>
      <protection locked="0"/>
    </xf>
    <xf numFmtId="0" fontId="44" fillId="16" borderId="0" xfId="63" applyFont="1" applyFill="1" applyProtection="1">
      <alignment/>
      <protection locked="0"/>
    </xf>
    <xf numFmtId="0" fontId="40" fillId="16" borderId="0" xfId="63" applyFont="1" applyFill="1" applyBorder="1" applyAlignment="1" applyProtection="1">
      <alignment horizontal="centerContinuous" vertical="center"/>
      <protection hidden="1"/>
    </xf>
    <xf numFmtId="0" fontId="40" fillId="16" borderId="0" xfId="63" applyFont="1" applyFill="1" applyBorder="1" applyAlignment="1" applyProtection="1">
      <alignment horizontal="center" vertical="center"/>
      <protection locked="0"/>
    </xf>
    <xf numFmtId="0" fontId="40" fillId="16" borderId="0" xfId="63" applyFont="1" applyFill="1" applyBorder="1" applyAlignment="1" applyProtection="1">
      <alignment horizontal="center" vertical="center"/>
      <protection hidden="1"/>
    </xf>
    <xf numFmtId="0" fontId="34" fillId="16" borderId="0" xfId="63" applyFont="1" applyFill="1" applyBorder="1" applyAlignment="1" applyProtection="1">
      <alignment vertical="center"/>
      <protection hidden="1"/>
    </xf>
    <xf numFmtId="0" fontId="46" fillId="16" borderId="0" xfId="63" applyFont="1" applyFill="1" applyBorder="1" applyAlignment="1" applyProtection="1">
      <alignment/>
      <protection hidden="1"/>
    </xf>
    <xf numFmtId="0" fontId="46" fillId="16" borderId="0" xfId="63" applyFont="1" applyFill="1" applyAlignment="1" applyProtection="1">
      <alignment/>
      <protection hidden="1"/>
    </xf>
    <xf numFmtId="0" fontId="21" fillId="16" borderId="0" xfId="63" applyFont="1" applyFill="1" applyProtection="1">
      <alignment/>
      <protection hidden="1"/>
    </xf>
    <xf numFmtId="0" fontId="47" fillId="0" borderId="45" xfId="59" applyFont="1" applyFill="1" applyBorder="1" applyAlignment="1" applyProtection="1">
      <alignment horizontal="center" vertical="center"/>
      <protection hidden="1"/>
    </xf>
    <xf numFmtId="0" fontId="47" fillId="0" borderId="91" xfId="59" applyFont="1" applyFill="1" applyBorder="1" applyAlignment="1" applyProtection="1">
      <alignment horizontal="center" vertical="center"/>
      <protection hidden="1"/>
    </xf>
    <xf numFmtId="0" fontId="48" fillId="22" borderId="91" xfId="59" applyFont="1" applyFill="1" applyBorder="1" applyAlignment="1" applyProtection="1">
      <alignment horizontal="center" vertical="center"/>
      <protection hidden="1"/>
    </xf>
    <xf numFmtId="0" fontId="48" fillId="0" borderId="91" xfId="59" applyFont="1" applyFill="1" applyBorder="1" applyAlignment="1" applyProtection="1">
      <alignment horizontal="center" vertical="center"/>
      <protection hidden="1"/>
    </xf>
    <xf numFmtId="0" fontId="48" fillId="0" borderId="132" xfId="59" applyFont="1" applyFill="1" applyBorder="1" applyAlignment="1" applyProtection="1">
      <alignment horizontal="center" vertical="center"/>
      <protection hidden="1"/>
    </xf>
    <xf numFmtId="0" fontId="48" fillId="0" borderId="0" xfId="59" applyFont="1" applyFill="1" applyAlignment="1">
      <alignment horizontal="center" vertical="center"/>
      <protection/>
    </xf>
    <xf numFmtId="0" fontId="47" fillId="0" borderId="0" xfId="59" applyFont="1" applyFill="1" applyAlignment="1">
      <alignment horizontal="center" vertical="center"/>
      <protection/>
    </xf>
    <xf numFmtId="14" fontId="47" fillId="0" borderId="58" xfId="59" applyNumberFormat="1" applyFont="1" applyFill="1" applyBorder="1" applyAlignment="1" applyProtection="1">
      <alignment horizontal="center" vertical="center"/>
      <protection hidden="1"/>
    </xf>
    <xf numFmtId="14" fontId="47" fillId="0" borderId="68" xfId="59" applyNumberFormat="1" applyFont="1" applyFill="1" applyBorder="1" applyAlignment="1" applyProtection="1">
      <alignment horizontal="center" vertical="center"/>
      <protection hidden="1"/>
    </xf>
    <xf numFmtId="14" fontId="47" fillId="0" borderId="68" xfId="59" applyNumberFormat="1" applyFont="1" applyFill="1" applyBorder="1" applyAlignment="1" applyProtection="1">
      <alignment horizontal="right" vertical="center"/>
      <protection hidden="1"/>
    </xf>
    <xf numFmtId="0" fontId="47" fillId="0" borderId="68" xfId="59" applyFont="1" applyFill="1" applyBorder="1" applyAlignment="1" applyProtection="1">
      <alignment horizontal="center" vertical="center"/>
      <protection hidden="1"/>
    </xf>
    <xf numFmtId="0" fontId="47" fillId="0" borderId="133" xfId="59" applyFont="1" applyFill="1" applyBorder="1" applyAlignment="1" applyProtection="1">
      <alignment horizontal="center" vertical="center"/>
      <protection hidden="1"/>
    </xf>
    <xf numFmtId="14" fontId="47" fillId="0" borderId="0" xfId="59" applyNumberFormat="1" applyFont="1" applyFill="1" applyAlignment="1">
      <alignment horizontal="center" vertical="center"/>
      <protection/>
    </xf>
    <xf numFmtId="0" fontId="48" fillId="23" borderId="58" xfId="59" applyFont="1" applyFill="1" applyBorder="1" applyAlignment="1" applyProtection="1">
      <alignment horizontal="center" vertical="center"/>
      <protection hidden="1"/>
    </xf>
    <xf numFmtId="0" fontId="48" fillId="23" borderId="68" xfId="59" applyFont="1" applyFill="1" applyBorder="1" applyAlignment="1" applyProtection="1">
      <alignment horizontal="center" vertical="center"/>
      <protection hidden="1"/>
    </xf>
    <xf numFmtId="0" fontId="49" fillId="0" borderId="0" xfId="59" applyFont="1" applyFill="1" applyAlignment="1" applyProtection="1" quotePrefix="1">
      <alignment horizontal="left" vertical="center"/>
      <protection/>
    </xf>
    <xf numFmtId="0" fontId="50" fillId="0" borderId="0" xfId="59" applyFont="1" applyFill="1" applyAlignment="1" applyProtection="1" quotePrefix="1">
      <alignment horizontal="left" vertical="center"/>
      <protection/>
    </xf>
    <xf numFmtId="0" fontId="51" fillId="0" borderId="0" xfId="59" applyFont="1" applyFill="1" applyAlignment="1" applyProtection="1" quotePrefix="1">
      <alignment horizontal="left" vertical="center"/>
      <protection hidden="1"/>
    </xf>
    <xf numFmtId="0" fontId="51" fillId="0" borderId="0" xfId="59" applyFont="1" applyFill="1" applyAlignment="1" applyProtection="1">
      <alignment vertical="center"/>
      <protection/>
    </xf>
    <xf numFmtId="0" fontId="47" fillId="0" borderId="0" xfId="59" applyFont="1" applyFill="1" applyAlignment="1" applyProtection="1">
      <alignment vertical="center"/>
      <protection/>
    </xf>
    <xf numFmtId="0" fontId="52" fillId="0" borderId="0" xfId="59" applyFont="1" applyFill="1" applyAlignment="1">
      <alignment horizontal="left" vertical="center"/>
      <protection/>
    </xf>
    <xf numFmtId="0" fontId="53" fillId="0" borderId="0" xfId="59" applyFont="1" applyFill="1" applyAlignment="1">
      <alignment horizontal="center" vertical="center"/>
      <protection/>
    </xf>
    <xf numFmtId="0" fontId="49" fillId="0" borderId="0" xfId="59" applyFont="1" applyFill="1" applyAlignment="1" applyProtection="1" quotePrefix="1">
      <alignment vertical="center"/>
      <protection/>
    </xf>
    <xf numFmtId="0" fontId="52" fillId="0" borderId="0" xfId="59" applyFont="1" applyFill="1" applyAlignment="1" applyProtection="1">
      <alignment horizontal="centerContinuous" vertical="top"/>
      <protection hidden="1"/>
    </xf>
    <xf numFmtId="0" fontId="53" fillId="0" borderId="0" xfId="59" applyFont="1" applyFill="1" applyAlignment="1" applyProtection="1">
      <alignment horizontal="centerContinuous" vertical="top"/>
      <protection/>
    </xf>
    <xf numFmtId="0" fontId="49" fillId="0" borderId="0" xfId="59" applyFont="1" applyFill="1" applyAlignment="1" applyProtection="1">
      <alignment horizontal="centerContinuous" vertical="center"/>
      <protection/>
    </xf>
    <xf numFmtId="0" fontId="47" fillId="0" borderId="25" xfId="59" applyFont="1" applyFill="1" applyBorder="1" applyAlignment="1" applyProtection="1" quotePrefix="1">
      <alignment horizontal="left" vertical="center"/>
      <protection hidden="1"/>
    </xf>
    <xf numFmtId="0" fontId="47" fillId="0" borderId="26" xfId="59" applyFont="1" applyFill="1" applyBorder="1" applyAlignment="1" applyProtection="1" quotePrefix="1">
      <alignment horizontal="left" vertical="center"/>
      <protection hidden="1"/>
    </xf>
    <xf numFmtId="0" fontId="47" fillId="0" borderId="26" xfId="59" applyFont="1" applyFill="1" applyBorder="1" applyAlignment="1" applyProtection="1">
      <alignment horizontal="center" vertical="center"/>
      <protection hidden="1"/>
    </xf>
    <xf numFmtId="0" fontId="47" fillId="0" borderId="27" xfId="59" applyFont="1" applyFill="1" applyBorder="1" applyAlignment="1" applyProtection="1">
      <alignment horizontal="center" vertical="center"/>
      <protection hidden="1"/>
    </xf>
    <xf numFmtId="0" fontId="47" fillId="0" borderId="28" xfId="59" applyFont="1" applyFill="1" applyBorder="1" applyAlignment="1" applyProtection="1" quotePrefix="1">
      <alignment horizontal="left" vertical="center"/>
      <protection hidden="1"/>
    </xf>
    <xf numFmtId="0" fontId="47" fillId="0" borderId="0" xfId="59" applyFont="1" applyFill="1" applyBorder="1" applyAlignment="1" applyProtection="1" quotePrefix="1">
      <alignment horizontal="left" vertical="center"/>
      <protection hidden="1"/>
    </xf>
    <xf numFmtId="0" fontId="47" fillId="0" borderId="0" xfId="59" applyFont="1" applyFill="1" applyBorder="1" applyAlignment="1" applyProtection="1">
      <alignment horizontal="center" vertical="center"/>
      <protection hidden="1"/>
    </xf>
    <xf numFmtId="0" fontId="47" fillId="0" borderId="29" xfId="59" applyFont="1" applyFill="1" applyBorder="1" applyAlignment="1" applyProtection="1">
      <alignment horizontal="center" vertical="center"/>
      <protection hidden="1"/>
    </xf>
    <xf numFmtId="0" fontId="49" fillId="0" borderId="28" xfId="59" applyFont="1" applyFill="1" applyBorder="1" applyAlignment="1" applyProtection="1">
      <alignment vertical="center"/>
      <protection hidden="1"/>
    </xf>
    <xf numFmtId="0" fontId="49" fillId="0" borderId="0" xfId="59" applyFont="1" applyFill="1" applyBorder="1" applyAlignment="1" applyProtection="1">
      <alignment vertical="center"/>
      <protection hidden="1"/>
    </xf>
    <xf numFmtId="0" fontId="47" fillId="0" borderId="0" xfId="59" applyFont="1" applyFill="1" applyBorder="1" applyAlignment="1" applyProtection="1">
      <alignment vertical="center"/>
      <protection hidden="1"/>
    </xf>
    <xf numFmtId="0" fontId="47" fillId="0" borderId="29" xfId="59" applyFont="1" applyFill="1" applyBorder="1" applyAlignment="1" applyProtection="1">
      <alignment vertical="center"/>
      <protection hidden="1"/>
    </xf>
    <xf numFmtId="0" fontId="55" fillId="0" borderId="0" xfId="59" applyFont="1" applyFill="1" applyBorder="1" applyAlignment="1" applyProtection="1">
      <alignment horizontal="right" vertical="center"/>
      <protection hidden="1"/>
    </xf>
    <xf numFmtId="0" fontId="55" fillId="0" borderId="0" xfId="59" applyFont="1" applyFill="1" applyBorder="1" applyAlignment="1" applyProtection="1">
      <alignment horizontal="left" vertical="center"/>
      <protection hidden="1"/>
    </xf>
    <xf numFmtId="0" fontId="4" fillId="0" borderId="0" xfId="62" applyFill="1">
      <alignment/>
      <protection/>
    </xf>
    <xf numFmtId="0" fontId="56" fillId="0" borderId="28" xfId="59" applyFont="1" applyFill="1" applyBorder="1" applyAlignment="1" applyProtection="1">
      <alignment horizontal="center" vertical="center"/>
      <protection hidden="1"/>
    </xf>
    <xf numFmtId="0" fontId="58" fillId="0" borderId="0" xfId="59" applyFont="1" applyFill="1" applyBorder="1" applyAlignment="1" applyProtection="1">
      <alignment horizontal="center" vertical="center"/>
      <protection hidden="1"/>
    </xf>
    <xf numFmtId="0" fontId="56" fillId="0" borderId="29" xfId="59" applyFont="1" applyFill="1" applyBorder="1" applyAlignment="1" applyProtection="1">
      <alignment horizontal="center" vertical="center"/>
      <protection hidden="1"/>
    </xf>
    <xf numFmtId="0" fontId="56" fillId="0" borderId="0" xfId="59" applyFont="1" applyFill="1" applyAlignment="1">
      <alignment horizontal="center" vertical="center"/>
      <protection/>
    </xf>
    <xf numFmtId="0" fontId="47" fillId="0" borderId="28" xfId="59" applyFont="1" applyFill="1" applyBorder="1" applyAlignment="1" applyProtection="1">
      <alignment horizontal="center" vertical="center"/>
      <protection hidden="1"/>
    </xf>
    <xf numFmtId="0" fontId="61" fillId="24" borderId="102" xfId="59" applyFont="1" applyFill="1" applyBorder="1" applyAlignment="1" applyProtection="1">
      <alignment horizontal="center" vertical="center"/>
      <protection hidden="1"/>
    </xf>
    <xf numFmtId="0" fontId="61" fillId="25" borderId="103" xfId="59" applyFont="1" applyFill="1" applyBorder="1" applyAlignment="1" applyProtection="1">
      <alignment horizontal="center" vertical="center"/>
      <protection hidden="1"/>
    </xf>
    <xf numFmtId="0" fontId="61" fillId="25" borderId="134" xfId="59" applyFont="1" applyFill="1" applyBorder="1" applyAlignment="1" applyProtection="1">
      <alignment horizontal="center" vertical="center"/>
      <protection hidden="1"/>
    </xf>
    <xf numFmtId="0" fontId="61" fillId="25" borderId="135" xfId="59" applyFont="1" applyFill="1" applyBorder="1" applyAlignment="1" applyProtection="1">
      <alignment horizontal="center" vertical="center"/>
      <protection hidden="1"/>
    </xf>
    <xf numFmtId="0" fontId="62" fillId="0" borderId="0" xfId="59" applyFont="1" applyFill="1" applyBorder="1" applyAlignment="1" applyProtection="1">
      <alignment horizontal="center" vertical="center"/>
      <protection hidden="1"/>
    </xf>
    <xf numFmtId="0" fontId="49" fillId="0" borderId="28" xfId="59" applyFont="1" applyFill="1" applyBorder="1" applyAlignment="1" applyProtection="1">
      <alignment horizontal="center" vertical="center"/>
      <protection hidden="1"/>
    </xf>
    <xf numFmtId="0" fontId="63" fillId="24" borderId="136" xfId="59" applyFont="1" applyFill="1" applyBorder="1" applyAlignment="1" applyProtection="1">
      <alignment horizontal="center" vertical="center"/>
      <protection hidden="1"/>
    </xf>
    <xf numFmtId="0" fontId="64" fillId="0" borderId="137" xfId="59" applyFont="1" applyFill="1" applyBorder="1" applyAlignment="1" applyProtection="1">
      <alignment horizontal="center" vertical="center"/>
      <protection hidden="1"/>
    </xf>
    <xf numFmtId="0" fontId="53" fillId="0" borderId="138" xfId="59" applyFont="1" applyFill="1" applyBorder="1" applyAlignment="1" applyProtection="1">
      <alignment horizontal="center" vertical="center"/>
      <protection hidden="1"/>
    </xf>
    <xf numFmtId="0" fontId="64" fillId="0" borderId="139" xfId="59" applyFont="1" applyFill="1" applyBorder="1" applyAlignment="1" applyProtection="1">
      <alignment horizontal="center" vertical="center"/>
      <protection hidden="1"/>
    </xf>
    <xf numFmtId="0" fontId="49" fillId="0" borderId="0" xfId="59" applyFont="1" applyFill="1" applyBorder="1" applyAlignment="1" applyProtection="1">
      <alignment horizontal="center" vertical="center"/>
      <protection hidden="1"/>
    </xf>
    <xf numFmtId="0" fontId="65" fillId="24" borderId="140" xfId="59" applyFont="1" applyFill="1" applyBorder="1" applyAlignment="1" applyProtection="1">
      <alignment horizontal="center" vertical="center"/>
      <protection hidden="1"/>
    </xf>
    <xf numFmtId="0" fontId="63" fillId="24" borderId="140" xfId="59" applyFont="1" applyFill="1" applyBorder="1" applyAlignment="1" applyProtection="1">
      <alignment horizontal="center" vertical="center"/>
      <protection hidden="1"/>
    </xf>
    <xf numFmtId="0" fontId="64" fillId="26" borderId="141" xfId="59" applyFont="1" applyFill="1" applyBorder="1" applyAlignment="1" applyProtection="1">
      <alignment horizontal="center" vertical="center"/>
      <protection hidden="1"/>
    </xf>
    <xf numFmtId="0" fontId="53" fillId="0" borderId="142" xfId="59" applyFont="1" applyFill="1" applyBorder="1" applyAlignment="1" applyProtection="1">
      <alignment horizontal="center" vertical="center"/>
      <protection hidden="1"/>
    </xf>
    <xf numFmtId="0" fontId="64" fillId="0" borderId="143" xfId="59" applyFont="1" applyFill="1" applyBorder="1" applyAlignment="1" applyProtection="1">
      <alignment horizontal="center" vertical="center"/>
      <protection hidden="1"/>
    </xf>
    <xf numFmtId="0" fontId="64" fillId="0" borderId="142" xfId="59" applyFont="1" applyFill="1" applyBorder="1" applyAlignment="1" applyProtection="1">
      <alignment horizontal="center" vertical="center"/>
      <protection hidden="1"/>
    </xf>
    <xf numFmtId="0" fontId="63" fillId="24" borderId="144" xfId="59" applyFont="1" applyFill="1" applyBorder="1" applyAlignment="1" applyProtection="1">
      <alignment horizontal="center" vertical="center"/>
      <protection hidden="1"/>
    </xf>
    <xf numFmtId="0" fontId="64" fillId="26" borderId="145" xfId="59" applyFont="1" applyFill="1" applyBorder="1" applyAlignment="1" applyProtection="1">
      <alignment horizontal="center" vertical="center"/>
      <protection hidden="1"/>
    </xf>
    <xf numFmtId="0" fontId="53" fillId="0" borderId="146" xfId="59" applyFont="1" applyFill="1" applyBorder="1" applyAlignment="1" applyProtection="1">
      <alignment horizontal="center" vertical="center"/>
      <protection hidden="1"/>
    </xf>
    <xf numFmtId="0" fontId="64" fillId="0" borderId="32" xfId="59" applyFont="1" applyFill="1" applyBorder="1" applyAlignment="1" applyProtection="1">
      <alignment horizontal="center" vertical="center"/>
      <protection hidden="1"/>
    </xf>
    <xf numFmtId="0" fontId="65" fillId="24" borderId="144" xfId="59" applyFont="1" applyFill="1" applyBorder="1" applyAlignment="1" applyProtection="1">
      <alignment horizontal="center" vertical="center"/>
      <protection hidden="1"/>
    </xf>
    <xf numFmtId="0" fontId="64" fillId="0" borderId="145" xfId="59" applyFont="1" applyFill="1" applyBorder="1" applyAlignment="1" applyProtection="1">
      <alignment horizontal="center" vertical="center"/>
      <protection hidden="1"/>
    </xf>
    <xf numFmtId="0" fontId="66" fillId="0" borderId="0" xfId="59" applyFont="1" applyFill="1" applyBorder="1" applyAlignment="1" applyProtection="1">
      <alignment horizontal="center" vertical="center"/>
      <protection hidden="1"/>
    </xf>
    <xf numFmtId="0" fontId="67" fillId="0" borderId="0" xfId="59" applyFont="1" applyFill="1" applyBorder="1" applyAlignment="1" applyProtection="1">
      <alignment horizontal="center" vertical="center"/>
      <protection hidden="1"/>
    </xf>
    <xf numFmtId="0" fontId="47" fillId="0" borderId="0" xfId="59" applyFont="1" applyFill="1" applyBorder="1" applyAlignment="1" applyProtection="1">
      <alignment horizontal="center" vertical="center"/>
      <protection hidden="1"/>
    </xf>
    <xf numFmtId="0" fontId="65" fillId="24" borderId="136" xfId="59" applyFont="1" applyFill="1" applyBorder="1" applyAlignment="1" applyProtection="1">
      <alignment horizontal="center" vertical="center"/>
      <protection hidden="1"/>
    </xf>
    <xf numFmtId="0" fontId="65" fillId="0" borderId="0" xfId="59" applyFont="1" applyFill="1" applyBorder="1" applyAlignment="1" applyProtection="1">
      <alignment horizontal="center" vertical="center"/>
      <protection hidden="1"/>
    </xf>
    <xf numFmtId="0" fontId="64" fillId="0" borderId="0" xfId="59" applyFont="1" applyFill="1" applyBorder="1" applyAlignment="1" applyProtection="1">
      <alignment horizontal="center" vertical="center"/>
      <protection hidden="1"/>
    </xf>
    <xf numFmtId="0" fontId="53" fillId="0" borderId="0" xfId="59" applyFont="1" applyFill="1" applyBorder="1" applyAlignment="1" applyProtection="1">
      <alignment horizontal="center" vertical="center"/>
      <protection hidden="1"/>
    </xf>
    <xf numFmtId="0" fontId="70" fillId="0" borderId="138" xfId="59" applyFont="1" applyFill="1" applyBorder="1" applyAlignment="1" applyProtection="1">
      <alignment horizontal="center" vertical="center"/>
      <protection hidden="1"/>
    </xf>
    <xf numFmtId="0" fontId="70" fillId="0" borderId="142" xfId="59" applyFont="1" applyFill="1" applyBorder="1" applyAlignment="1" applyProtection="1">
      <alignment horizontal="center" vertical="center"/>
      <protection hidden="1"/>
    </xf>
    <xf numFmtId="0" fontId="64" fillId="26" borderId="137" xfId="59" applyFont="1" applyFill="1" applyBorder="1" applyAlignment="1" applyProtection="1">
      <alignment horizontal="center" vertical="center"/>
      <protection hidden="1"/>
    </xf>
    <xf numFmtId="0" fontId="53" fillId="26" borderId="138" xfId="59" applyFont="1" applyFill="1" applyBorder="1" applyAlignment="1" applyProtection="1">
      <alignment horizontal="center" vertical="center"/>
      <protection hidden="1"/>
    </xf>
    <xf numFmtId="0" fontId="64" fillId="0" borderId="141" xfId="59" applyFont="1" applyFill="1" applyBorder="1" applyAlignment="1" applyProtection="1">
      <alignment horizontal="center" vertical="center"/>
      <protection hidden="1"/>
    </xf>
    <xf numFmtId="0" fontId="53" fillId="26" borderId="142" xfId="59" applyFont="1" applyFill="1" applyBorder="1" applyAlignment="1" applyProtection="1">
      <alignment horizontal="center" vertical="center"/>
      <protection hidden="1"/>
    </xf>
    <xf numFmtId="0" fontId="47" fillId="0" borderId="30" xfId="59" applyFont="1" applyFill="1" applyBorder="1" applyAlignment="1">
      <alignment horizontal="center" vertical="center"/>
      <protection/>
    </xf>
    <xf numFmtId="0" fontId="47" fillId="0" borderId="31" xfId="59" applyFont="1" applyFill="1" applyBorder="1" applyAlignment="1">
      <alignment horizontal="center" vertical="center"/>
      <protection/>
    </xf>
    <xf numFmtId="0" fontId="71" fillId="0" borderId="31" xfId="59" applyFont="1" applyFill="1" applyBorder="1" applyAlignment="1">
      <alignment horizontal="left" vertical="center"/>
      <protection/>
    </xf>
    <xf numFmtId="0" fontId="47" fillId="0" borderId="31" xfId="59" applyFont="1" applyFill="1" applyBorder="1" applyAlignment="1">
      <alignment horizontal="left" vertical="center"/>
      <protection/>
    </xf>
    <xf numFmtId="0" fontId="72" fillId="0" borderId="31" xfId="59" applyFont="1" applyFill="1" applyBorder="1" applyAlignment="1" applyProtection="1">
      <alignment horizontal="left" vertical="center"/>
      <protection locked="0"/>
    </xf>
    <xf numFmtId="0" fontId="73" fillId="0" borderId="31" xfId="59" applyFont="1" applyFill="1" applyBorder="1" applyAlignment="1">
      <alignment horizontal="left" vertical="center"/>
      <protection/>
    </xf>
    <xf numFmtId="0" fontId="74" fillId="0" borderId="31" xfId="59" applyFont="1" applyFill="1" applyBorder="1" applyAlignment="1" applyProtection="1" quotePrefix="1">
      <alignment horizontal="right" vertical="center"/>
      <protection hidden="1"/>
    </xf>
    <xf numFmtId="0" fontId="74" fillId="0" borderId="32" xfId="59" applyFont="1" applyFill="1" applyBorder="1" applyAlignment="1" applyProtection="1" quotePrefix="1">
      <alignment horizontal="right" vertical="center"/>
      <protection hidden="1"/>
    </xf>
    <xf numFmtId="0" fontId="45" fillId="16" borderId="0" xfId="54" applyFont="1" applyFill="1" applyBorder="1" applyAlignment="1" applyProtection="1">
      <alignment/>
      <protection hidden="1"/>
    </xf>
    <xf numFmtId="0" fontId="45" fillId="0" borderId="0" xfId="54" applyFont="1" applyAlignment="1" applyProtection="1">
      <alignment/>
      <protection/>
    </xf>
    <xf numFmtId="0" fontId="68" fillId="0" borderId="31" xfId="59" applyFont="1" applyFill="1" applyBorder="1" applyAlignment="1" applyProtection="1">
      <alignment horizontal="center" vertical="center"/>
      <protection hidden="1"/>
    </xf>
    <xf numFmtId="0" fontId="59" fillId="0" borderId="31" xfId="59" applyFont="1" applyFill="1" applyBorder="1" applyAlignment="1" applyProtection="1">
      <alignment horizontal="center" vertical="center"/>
      <protection hidden="1"/>
    </xf>
    <xf numFmtId="0" fontId="60" fillId="0" borderId="31" xfId="59" applyFont="1" applyFill="1" applyBorder="1" applyAlignment="1" applyProtection="1">
      <alignment horizontal="center" vertical="center"/>
      <protection hidden="1"/>
    </xf>
    <xf numFmtId="0" fontId="69" fillId="0" borderId="31" xfId="59" applyFont="1" applyFill="1" applyBorder="1" applyAlignment="1" applyProtection="1">
      <alignment horizontal="center" vertical="center"/>
      <protection hidden="1"/>
    </xf>
    <xf numFmtId="0" fontId="57" fillId="0" borderId="31" xfId="59" applyFont="1" applyFill="1" applyBorder="1" applyAlignment="1" applyProtection="1">
      <alignment horizontal="center" vertical="center"/>
      <protection hidden="1"/>
    </xf>
    <xf numFmtId="0" fontId="49" fillId="24" borderId="0" xfId="59" applyFont="1" applyFill="1" applyAlignment="1" applyProtection="1" quotePrefix="1">
      <alignment horizontal="center" vertical="center"/>
      <protection locked="0"/>
    </xf>
    <xf numFmtId="0" fontId="54" fillId="0" borderId="0" xfId="59" applyFont="1" applyFill="1" applyBorder="1" applyAlignment="1" applyProtection="1">
      <alignment horizontal="left" vertical="center"/>
      <protection hidden="1"/>
    </xf>
    <xf numFmtId="0" fontId="54" fillId="0" borderId="0" xfId="59" applyFont="1" applyFill="1" applyBorder="1" applyAlignment="1" applyProtection="1">
      <alignment horizontal="right" vertical="center"/>
      <protection hidden="1"/>
    </xf>
    <xf numFmtId="0" fontId="4" fillId="0" borderId="54" xfId="58" applyBorder="1" applyAlignment="1" applyProtection="1">
      <alignment/>
      <protection locked="0"/>
    </xf>
    <xf numFmtId="0" fontId="0" fillId="20" borderId="28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47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Unit Convertion Table" xfId="54"/>
    <cellStyle name="Input" xfId="55"/>
    <cellStyle name="Linked Cell" xfId="56"/>
    <cellStyle name="Neutral" xfId="57"/>
    <cellStyle name="Normal_Blood Pressure Record Lorraine Cliff" xfId="58"/>
    <cellStyle name="Normal_CAL-A4" xfId="59"/>
    <cellStyle name="Normal_Calorie" xfId="60"/>
    <cellStyle name="Normal_Cone Fab" xfId="61"/>
    <cellStyle name="Normal_life_time_calender" xfId="62"/>
    <cellStyle name="Normal_Unit Convertion Tabl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5">
    <dxf>
      <font>
        <color indexed="26"/>
      </font>
    </dxf>
    <dxf>
      <fill>
        <patternFill>
          <bgColor indexed="26"/>
        </patternFill>
      </fill>
      <border>
        <bottom/>
      </border>
    </dxf>
    <dxf>
      <fill>
        <patternFill>
          <bgColor indexed="26"/>
        </patternFill>
      </fill>
      <border>
        <bottom/>
      </border>
    </dxf>
    <dxf>
      <fill>
        <patternFill patternType="lightTrellis"/>
      </fill>
      <border>
        <left/>
        <right/>
        <top/>
        <bottom/>
      </border>
    </dxf>
    <dxf>
      <font>
        <color auto="1"/>
      </font>
      <fill>
        <patternFill patternType="lightTrellis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1175"/>
          <c:w val="0.95225"/>
          <c:h val="0.944"/>
        </c:manualLayout>
      </c:layout>
      <c:lineChart>
        <c:grouping val="standard"/>
        <c:varyColors val="0"/>
        <c:ser>
          <c:idx val="2"/>
          <c:order val="0"/>
          <c:tx>
            <c:strRef>
              <c:f>'Blood Pressure'!$F$4</c:f>
              <c:strCache>
                <c:ptCount val="1"/>
                <c:pt idx="0">
                  <c:v>Pulse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val>
            <c:numRef>
              <c:f>'Blood Pressure'!$F$5:$F$54</c:f>
              <c:numCache/>
            </c:numRef>
          </c:val>
          <c:smooth val="0"/>
        </c:ser>
        <c:ser>
          <c:idx val="0"/>
          <c:order val="1"/>
          <c:tx>
            <c:strRef>
              <c:f>'Blood Pressure'!$D$4</c:f>
              <c:strCache>
                <c:ptCount val="1"/>
                <c:pt idx="0">
                  <c:v>Systolic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'Blood Pressure'!$D$5:$D$54</c:f>
              <c:numCache/>
            </c:numRef>
          </c:val>
          <c:smooth val="0"/>
        </c:ser>
        <c:ser>
          <c:idx val="1"/>
          <c:order val="2"/>
          <c:tx>
            <c:strRef>
              <c:f>'Blood Pressure'!$E$4</c:f>
              <c:strCache>
                <c:ptCount val="1"/>
                <c:pt idx="0">
                  <c:v>Diastolic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'Blood Pressure'!$E$5:$E$54</c:f>
              <c:numCache/>
            </c:numRef>
          </c:val>
          <c:smooth val="0"/>
        </c:ser>
        <c:marker val="1"/>
        <c:axId val="62236402"/>
        <c:axId val="23256707"/>
      </c:lineChart>
      <c:catAx>
        <c:axId val="62236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56707"/>
        <c:crosses val="autoZero"/>
        <c:auto val="1"/>
        <c:lblOffset val="100"/>
        <c:tickLblSkip val="5"/>
        <c:noMultiLvlLbl val="0"/>
      </c:catAx>
      <c:valAx>
        <c:axId val="23256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36402"/>
        <c:crossesAt val="1"/>
        <c:crossBetween val="between"/>
        <c:dispUnits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75"/>
          <c:y val="0.969"/>
          <c:w val="0.543"/>
          <c:h val="0.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20</xdr:col>
      <xdr:colOff>142875</xdr:colOff>
      <xdr:row>23</xdr:row>
      <xdr:rowOff>66675</xdr:rowOff>
    </xdr:to>
    <xdr:sp>
      <xdr:nvSpPr>
        <xdr:cNvPr id="1" name="Rectangle 38"/>
        <xdr:cNvSpPr>
          <a:spLocks/>
        </xdr:cNvSpPr>
      </xdr:nvSpPr>
      <xdr:spPr>
        <a:xfrm>
          <a:off x="57150" y="66675"/>
          <a:ext cx="8153400" cy="43815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</xdr:colOff>
      <xdr:row>12</xdr:row>
      <xdr:rowOff>114300</xdr:rowOff>
    </xdr:from>
    <xdr:to>
      <xdr:col>20</xdr:col>
      <xdr:colOff>9525</xdr:colOff>
      <xdr:row>16</xdr:row>
      <xdr:rowOff>152400</xdr:rowOff>
    </xdr:to>
    <xdr:pic>
      <xdr:nvPicPr>
        <xdr:cNvPr id="2" name="Picture 39" descr="ARAMCO-BIG LOGO2-TRANS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2400300"/>
          <a:ext cx="1857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10</xdr:row>
      <xdr:rowOff>38100</xdr:rowOff>
    </xdr:from>
    <xdr:to>
      <xdr:col>6</xdr:col>
      <xdr:colOff>361950</xdr:colOff>
      <xdr:row>16</xdr:row>
      <xdr:rowOff>180975</xdr:rowOff>
    </xdr:to>
    <xdr:sp>
      <xdr:nvSpPr>
        <xdr:cNvPr id="1" name="Oval 3"/>
        <xdr:cNvSpPr>
          <a:spLocks/>
        </xdr:cNvSpPr>
      </xdr:nvSpPr>
      <xdr:spPr>
        <a:xfrm>
          <a:off x="4533900" y="2019300"/>
          <a:ext cx="1371600" cy="12858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6</xdr:col>
      <xdr:colOff>152400</xdr:colOff>
      <xdr:row>15</xdr:row>
      <xdr:rowOff>180975</xdr:rowOff>
    </xdr:to>
    <xdr:sp>
      <xdr:nvSpPr>
        <xdr:cNvPr id="2" name="Rectangle 1"/>
        <xdr:cNvSpPr>
          <a:spLocks/>
        </xdr:cNvSpPr>
      </xdr:nvSpPr>
      <xdr:spPr>
        <a:xfrm>
          <a:off x="4733925" y="2209800"/>
          <a:ext cx="962025" cy="9048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6</xdr:col>
      <xdr:colOff>152400</xdr:colOff>
      <xdr:row>15</xdr:row>
      <xdr:rowOff>180975</xdr:rowOff>
    </xdr:to>
    <xdr:sp>
      <xdr:nvSpPr>
        <xdr:cNvPr id="3" name="Oval 2"/>
        <xdr:cNvSpPr>
          <a:spLocks/>
        </xdr:cNvSpPr>
      </xdr:nvSpPr>
      <xdr:spPr>
        <a:xfrm>
          <a:off x="4733925" y="2209800"/>
          <a:ext cx="962025" cy="9048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13</xdr:row>
      <xdr:rowOff>0</xdr:rowOff>
    </xdr:from>
    <xdr:to>
      <xdr:col>5</xdr:col>
      <xdr:colOff>638175</xdr:colOff>
      <xdr:row>14</xdr:row>
      <xdr:rowOff>28575</xdr:rowOff>
    </xdr:to>
    <xdr:sp>
      <xdr:nvSpPr>
        <xdr:cNvPr id="4" name="Text 4"/>
        <xdr:cNvSpPr txBox="1">
          <a:spLocks noChangeArrowheads="1"/>
        </xdr:cNvSpPr>
      </xdr:nvSpPr>
      <xdr:spPr>
        <a:xfrm>
          <a:off x="5095875" y="2552700"/>
          <a:ext cx="247650" cy="219075"/>
        </a:xfrm>
        <a:prstGeom prst="rect">
          <a:avLst/>
        </a:prstGeom>
        <a:solidFill>
          <a:srgbClr val="FFFF00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</a:t>
          </a:r>
        </a:p>
      </xdr:txBody>
    </xdr:sp>
    <xdr:clientData/>
  </xdr:twoCellAnchor>
  <xdr:twoCellAnchor>
    <xdr:from>
      <xdr:col>5</xdr:col>
      <xdr:colOff>28575</xdr:colOff>
      <xdr:row>13</xdr:row>
      <xdr:rowOff>104775</xdr:rowOff>
    </xdr:from>
    <xdr:to>
      <xdr:col>5</xdr:col>
      <xdr:colOff>381000</xdr:colOff>
      <xdr:row>13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4733925" y="2657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13</xdr:row>
      <xdr:rowOff>104775</xdr:rowOff>
    </xdr:from>
    <xdr:to>
      <xdr:col>6</xdr:col>
      <xdr:colOff>152400</xdr:colOff>
      <xdr:row>13</xdr:row>
      <xdr:rowOff>104775</xdr:rowOff>
    </xdr:to>
    <xdr:sp>
      <xdr:nvSpPr>
        <xdr:cNvPr id="6" name="Line 6"/>
        <xdr:cNvSpPr>
          <a:spLocks/>
        </xdr:cNvSpPr>
      </xdr:nvSpPr>
      <xdr:spPr>
        <a:xfrm>
          <a:off x="5305425" y="2657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16</xdr:row>
      <xdr:rowOff>9525</xdr:rowOff>
    </xdr:from>
    <xdr:to>
      <xdr:col>6</xdr:col>
      <xdr:colOff>571500</xdr:colOff>
      <xdr:row>17</xdr:row>
      <xdr:rowOff>47625</xdr:rowOff>
    </xdr:to>
    <xdr:sp>
      <xdr:nvSpPr>
        <xdr:cNvPr id="7" name="Text 7"/>
        <xdr:cNvSpPr txBox="1">
          <a:spLocks noChangeArrowheads="1"/>
        </xdr:cNvSpPr>
      </xdr:nvSpPr>
      <xdr:spPr>
        <a:xfrm>
          <a:off x="5705475" y="3133725"/>
          <a:ext cx="409575" cy="22860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</a:t>
          </a:r>
        </a:p>
      </xdr:txBody>
    </xdr:sp>
    <xdr:clientData/>
  </xdr:twoCellAnchor>
  <xdr:twoCellAnchor>
    <xdr:from>
      <xdr:col>6</xdr:col>
      <xdr:colOff>323850</xdr:colOff>
      <xdr:row>12</xdr:row>
      <xdr:rowOff>19050</xdr:rowOff>
    </xdr:from>
    <xdr:to>
      <xdr:col>6</xdr:col>
      <xdr:colOff>800100</xdr:colOff>
      <xdr:row>14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867400" y="2381250"/>
          <a:ext cx="4762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16</xdr:row>
      <xdr:rowOff>123825</xdr:rowOff>
    </xdr:from>
    <xdr:to>
      <xdr:col>5</xdr:col>
      <xdr:colOff>619125</xdr:colOff>
      <xdr:row>19</xdr:row>
      <xdr:rowOff>0</xdr:rowOff>
    </xdr:to>
    <xdr:sp>
      <xdr:nvSpPr>
        <xdr:cNvPr id="9" name="Line 10"/>
        <xdr:cNvSpPr>
          <a:spLocks/>
        </xdr:cNvSpPr>
      </xdr:nvSpPr>
      <xdr:spPr>
        <a:xfrm>
          <a:off x="4876800" y="3248025"/>
          <a:ext cx="4476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17</xdr:row>
      <xdr:rowOff>28575</xdr:rowOff>
    </xdr:from>
    <xdr:to>
      <xdr:col>6</xdr:col>
      <xdr:colOff>104775</xdr:colOff>
      <xdr:row>18</xdr:row>
      <xdr:rowOff>171450</xdr:rowOff>
    </xdr:to>
    <xdr:sp>
      <xdr:nvSpPr>
        <xdr:cNvPr id="10" name="Line 11"/>
        <xdr:cNvSpPr>
          <a:spLocks/>
        </xdr:cNvSpPr>
      </xdr:nvSpPr>
      <xdr:spPr>
        <a:xfrm flipH="1">
          <a:off x="5314950" y="3343275"/>
          <a:ext cx="3333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9525</xdr:rowOff>
    </xdr:from>
    <xdr:to>
      <xdr:col>6</xdr:col>
      <xdr:colOff>685800</xdr:colOff>
      <xdr:row>15</xdr:row>
      <xdr:rowOff>161925</xdr:rowOff>
    </xdr:to>
    <xdr:sp>
      <xdr:nvSpPr>
        <xdr:cNvPr id="11" name="Line 12"/>
        <xdr:cNvSpPr>
          <a:spLocks/>
        </xdr:cNvSpPr>
      </xdr:nvSpPr>
      <xdr:spPr>
        <a:xfrm flipV="1">
          <a:off x="5886450" y="2752725"/>
          <a:ext cx="342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7</xdr:row>
      <xdr:rowOff>142875</xdr:rowOff>
    </xdr:from>
    <xdr:to>
      <xdr:col>13</xdr:col>
      <xdr:colOff>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3514725" y="142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20</xdr:col>
      <xdr:colOff>123825</xdr:colOff>
      <xdr:row>57</xdr:row>
      <xdr:rowOff>85725</xdr:rowOff>
    </xdr:from>
    <xdr:to>
      <xdr:col>25</xdr:col>
      <xdr:colOff>0</xdr:colOff>
      <xdr:row>61</xdr:row>
      <xdr:rowOff>152400</xdr:rowOff>
    </xdr:to>
    <xdr:pic>
      <xdr:nvPicPr>
        <xdr:cNvPr id="2" name="Picture 2" descr="baby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0953750"/>
          <a:ext cx="1447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285750</xdr:colOff>
      <xdr:row>29</xdr:row>
      <xdr:rowOff>28575</xdr:rowOff>
    </xdr:from>
    <xdr:to>
      <xdr:col>25</xdr:col>
      <xdr:colOff>114300</xdr:colOff>
      <xdr:row>33</xdr:row>
      <xdr:rowOff>171450</xdr:rowOff>
    </xdr:to>
    <xdr:pic>
      <xdr:nvPicPr>
        <xdr:cNvPr id="3" name="Picture 3" descr="baby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4495800"/>
          <a:ext cx="1400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200025</xdr:rowOff>
    </xdr:from>
    <xdr:to>
      <xdr:col>14</xdr:col>
      <xdr:colOff>219075</xdr:colOff>
      <xdr:row>33</xdr:row>
      <xdr:rowOff>133350</xdr:rowOff>
    </xdr:to>
    <xdr:pic>
      <xdr:nvPicPr>
        <xdr:cNvPr id="4" name="Picture 4" descr="baby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90875" y="4438650"/>
          <a:ext cx="1428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57</xdr:row>
      <xdr:rowOff>76200</xdr:rowOff>
    </xdr:from>
    <xdr:to>
      <xdr:col>7</xdr:col>
      <xdr:colOff>47625</xdr:colOff>
      <xdr:row>61</xdr:row>
      <xdr:rowOff>161925</xdr:rowOff>
    </xdr:to>
    <xdr:pic>
      <xdr:nvPicPr>
        <xdr:cNvPr id="5" name="Picture 5" descr="baby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" y="10944225"/>
          <a:ext cx="1266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57</xdr:row>
      <xdr:rowOff>95250</xdr:rowOff>
    </xdr:from>
    <xdr:to>
      <xdr:col>16</xdr:col>
      <xdr:colOff>104775</xdr:colOff>
      <xdr:row>61</xdr:row>
      <xdr:rowOff>142875</xdr:rowOff>
    </xdr:to>
    <xdr:pic>
      <xdr:nvPicPr>
        <xdr:cNvPr id="6" name="Picture 6" descr="baby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14750" y="10963275"/>
          <a:ext cx="1419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12</xdr:row>
      <xdr:rowOff>85725</xdr:rowOff>
    </xdr:from>
    <xdr:to>
      <xdr:col>16</xdr:col>
      <xdr:colOff>95250</xdr:colOff>
      <xdr:row>19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76625" y="1104900"/>
          <a:ext cx="1647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12</xdr:row>
      <xdr:rowOff>114300</xdr:rowOff>
    </xdr:from>
    <xdr:to>
      <xdr:col>6</xdr:col>
      <xdr:colOff>209550</xdr:colOff>
      <xdr:row>20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3925" y="1133475"/>
          <a:ext cx="11715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29</xdr:row>
      <xdr:rowOff>0</xdr:rowOff>
    </xdr:from>
    <xdr:to>
      <xdr:col>7</xdr:col>
      <xdr:colOff>9525</xdr:colOff>
      <xdr:row>33</xdr:row>
      <xdr:rowOff>104775</xdr:rowOff>
    </xdr:to>
    <xdr:pic>
      <xdr:nvPicPr>
        <xdr:cNvPr id="9" name="Picture 9" descr="baby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6775" y="4467225"/>
          <a:ext cx="1343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12</xdr:row>
      <xdr:rowOff>57150</xdr:rowOff>
    </xdr:from>
    <xdr:to>
      <xdr:col>24</xdr:col>
      <xdr:colOff>66675</xdr:colOff>
      <xdr:row>19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00750" y="1076325"/>
          <a:ext cx="1609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43</xdr:row>
      <xdr:rowOff>57150</xdr:rowOff>
    </xdr:from>
    <xdr:to>
      <xdr:col>7</xdr:col>
      <xdr:colOff>95250</xdr:colOff>
      <xdr:row>48</xdr:row>
      <xdr:rowOff>57150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0" y="7724775"/>
          <a:ext cx="1533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200025</xdr:rowOff>
    </xdr:from>
    <xdr:to>
      <xdr:col>16</xdr:col>
      <xdr:colOff>200025</xdr:colOff>
      <xdr:row>47</xdr:row>
      <xdr:rowOff>171450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71900" y="763905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42</xdr:row>
      <xdr:rowOff>200025</xdr:rowOff>
    </xdr:from>
    <xdr:to>
      <xdr:col>25</xdr:col>
      <xdr:colOff>19050</xdr:colOff>
      <xdr:row>47</xdr:row>
      <xdr:rowOff>123825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10350" y="7639050"/>
          <a:ext cx="1266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11</xdr:row>
      <xdr:rowOff>19050</xdr:rowOff>
    </xdr:from>
    <xdr:to>
      <xdr:col>7</xdr:col>
      <xdr:colOff>76200</xdr:colOff>
      <xdr:row>12</xdr:row>
      <xdr:rowOff>209550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2"/>
        <a:srcRect l="14773" t="7142" r="32954" b="17143"/>
        <a:stretch>
          <a:fillRect/>
        </a:stretch>
      </xdr:blipFill>
      <xdr:spPr>
        <a:xfrm>
          <a:off x="1838325" y="723900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304800</xdr:colOff>
      <xdr:row>15</xdr:row>
      <xdr:rowOff>142875</xdr:rowOff>
    </xdr:from>
    <xdr:to>
      <xdr:col>17</xdr:col>
      <xdr:colOff>104775</xdr:colOff>
      <xdr:row>19</xdr:row>
      <xdr:rowOff>76200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3"/>
        <a:srcRect l="21665" t="6060" r="3334" b="1515"/>
        <a:stretch>
          <a:fillRect/>
        </a:stretch>
      </xdr:blipFill>
      <xdr:spPr>
        <a:xfrm>
          <a:off x="5019675" y="1743075"/>
          <a:ext cx="428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295275</xdr:colOff>
      <xdr:row>16</xdr:row>
      <xdr:rowOff>133350</xdr:rowOff>
    </xdr:from>
    <xdr:to>
      <xdr:col>25</xdr:col>
      <xdr:colOff>104775</xdr:colOff>
      <xdr:row>18</xdr:row>
      <xdr:rowOff>104775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0" y="1895475"/>
          <a:ext cx="438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31</xdr:row>
      <xdr:rowOff>104775</xdr:rowOff>
    </xdr:from>
    <xdr:to>
      <xdr:col>18</xdr:col>
      <xdr:colOff>47625</xdr:colOff>
      <xdr:row>33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29150" y="5029200"/>
          <a:ext cx="1076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15</xdr:col>
      <xdr:colOff>0</xdr:colOff>
      <xdr:row>53</xdr:row>
      <xdr:rowOff>161925</xdr:rowOff>
    </xdr:to>
    <xdr:graphicFrame>
      <xdr:nvGraphicFramePr>
        <xdr:cNvPr id="1" name="Chart 1"/>
        <xdr:cNvGraphicFramePr/>
      </xdr:nvGraphicFramePr>
      <xdr:xfrm>
        <a:off x="3867150" y="676275"/>
        <a:ext cx="4067175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20</xdr:row>
      <xdr:rowOff>0</xdr:rowOff>
    </xdr:from>
    <xdr:to>
      <xdr:col>4</xdr:col>
      <xdr:colOff>552450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1257300" y="38766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38100</xdr:rowOff>
    </xdr:from>
    <xdr:to>
      <xdr:col>2</xdr:col>
      <xdr:colOff>9525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57300" y="295275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38100</xdr:rowOff>
    </xdr:from>
    <xdr:to>
      <xdr:col>4</xdr:col>
      <xdr:colOff>561975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1257300" y="2952750"/>
          <a:ext cx="19716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38100</xdr:rowOff>
    </xdr:from>
    <xdr:to>
      <xdr:col>2</xdr:col>
      <xdr:colOff>200025</xdr:colOff>
      <xdr:row>20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57300" y="3724275"/>
          <a:ext cx="1905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1162050" y="0"/>
          <a:ext cx="2000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41</xdr:row>
      <xdr:rowOff>66675</xdr:rowOff>
    </xdr:from>
    <xdr:to>
      <xdr:col>2</xdr:col>
      <xdr:colOff>733425</xdr:colOff>
      <xdr:row>50</xdr:row>
      <xdr:rowOff>85725</xdr:rowOff>
    </xdr:to>
    <xdr:grpSp>
      <xdr:nvGrpSpPr>
        <xdr:cNvPr id="4" name="Group 20"/>
        <xdr:cNvGrpSpPr>
          <a:grpSpLocks/>
        </xdr:cNvGrpSpPr>
      </xdr:nvGrpSpPr>
      <xdr:grpSpPr>
        <a:xfrm>
          <a:off x="190500" y="8201025"/>
          <a:ext cx="1704975" cy="1733550"/>
          <a:chOff x="19" y="885"/>
          <a:chExt cx="179" cy="182"/>
        </a:xfrm>
        <a:solidFill>
          <a:srgbClr val="FFFFFF"/>
        </a:solidFill>
      </xdr:grpSpPr>
      <xdr:grpSp>
        <xdr:nvGrpSpPr>
          <xdr:cNvPr id="5" name="Group 21"/>
          <xdr:cNvGrpSpPr>
            <a:grpSpLocks/>
          </xdr:cNvGrpSpPr>
        </xdr:nvGrpSpPr>
        <xdr:grpSpPr>
          <a:xfrm>
            <a:off x="39" y="910"/>
            <a:ext cx="136" cy="133"/>
            <a:chOff x="219" y="204"/>
            <a:chExt cx="185" cy="180"/>
          </a:xfrm>
          <a:solidFill>
            <a:srgbClr val="FFFFFF"/>
          </a:solidFill>
        </xdr:grpSpPr>
        <xdr:sp>
          <xdr:nvSpPr>
            <xdr:cNvPr id="6" name="Line 22"/>
            <xdr:cNvSpPr>
              <a:spLocks/>
            </xdr:cNvSpPr>
          </xdr:nvSpPr>
          <xdr:spPr>
            <a:xfrm>
              <a:off x="314" y="204"/>
              <a:ext cx="0" cy="18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23"/>
            <xdr:cNvSpPr>
              <a:spLocks/>
            </xdr:cNvSpPr>
          </xdr:nvSpPr>
          <xdr:spPr>
            <a:xfrm>
              <a:off x="219" y="295"/>
              <a:ext cx="1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24"/>
            <xdr:cNvSpPr>
              <a:spLocks/>
            </xdr:cNvSpPr>
          </xdr:nvSpPr>
          <xdr:spPr>
            <a:xfrm>
              <a:off x="219" y="204"/>
              <a:ext cx="185" cy="180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Text Box 25"/>
          <xdr:cNvSpPr txBox="1">
            <a:spLocks noChangeArrowheads="1"/>
          </xdr:cNvSpPr>
        </xdr:nvSpPr>
        <xdr:spPr>
          <a:xfrm>
            <a:off x="181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0" name="Text Box 26"/>
          <xdr:cNvSpPr txBox="1">
            <a:spLocks noChangeArrowheads="1"/>
          </xdr:cNvSpPr>
        </xdr:nvSpPr>
        <xdr:spPr>
          <a:xfrm>
            <a:off x="19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1" name="Text Box 27"/>
          <xdr:cNvSpPr txBox="1">
            <a:spLocks noChangeArrowheads="1"/>
          </xdr:cNvSpPr>
        </xdr:nvSpPr>
        <xdr:spPr>
          <a:xfrm>
            <a:off x="92" y="88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  <xdr:sp>
        <xdr:nvSpPr>
          <xdr:cNvPr id="12" name="Text Box 28"/>
          <xdr:cNvSpPr txBox="1">
            <a:spLocks noChangeArrowheads="1"/>
          </xdr:cNvSpPr>
        </xdr:nvSpPr>
        <xdr:spPr>
          <a:xfrm>
            <a:off x="92" y="104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1162050" y="0"/>
          <a:ext cx="2000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66675</xdr:rowOff>
    </xdr:from>
    <xdr:to>
      <xdr:col>2</xdr:col>
      <xdr:colOff>723900</xdr:colOff>
      <xdr:row>51</xdr:row>
      <xdr:rowOff>85725</xdr:rowOff>
    </xdr:to>
    <xdr:grpSp>
      <xdr:nvGrpSpPr>
        <xdr:cNvPr id="4" name="Group 34"/>
        <xdr:cNvGrpSpPr>
          <a:grpSpLocks/>
        </xdr:cNvGrpSpPr>
      </xdr:nvGrpSpPr>
      <xdr:grpSpPr>
        <a:xfrm>
          <a:off x="180975" y="8429625"/>
          <a:ext cx="1704975" cy="1733550"/>
          <a:chOff x="19" y="885"/>
          <a:chExt cx="179" cy="182"/>
        </a:xfrm>
        <a:solidFill>
          <a:srgbClr val="FFFFFF"/>
        </a:solidFill>
      </xdr:grpSpPr>
      <xdr:grpSp>
        <xdr:nvGrpSpPr>
          <xdr:cNvPr id="5" name="Group 18"/>
          <xdr:cNvGrpSpPr>
            <a:grpSpLocks/>
          </xdr:cNvGrpSpPr>
        </xdr:nvGrpSpPr>
        <xdr:grpSpPr>
          <a:xfrm>
            <a:off x="39" y="910"/>
            <a:ext cx="136" cy="133"/>
            <a:chOff x="219" y="204"/>
            <a:chExt cx="185" cy="180"/>
          </a:xfrm>
          <a:solidFill>
            <a:srgbClr val="FFFFFF"/>
          </a:solidFill>
        </xdr:grpSpPr>
        <xdr:sp>
          <xdr:nvSpPr>
            <xdr:cNvPr id="6" name="Line 19"/>
            <xdr:cNvSpPr>
              <a:spLocks/>
            </xdr:cNvSpPr>
          </xdr:nvSpPr>
          <xdr:spPr>
            <a:xfrm>
              <a:off x="314" y="204"/>
              <a:ext cx="0" cy="18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20"/>
            <xdr:cNvSpPr>
              <a:spLocks/>
            </xdr:cNvSpPr>
          </xdr:nvSpPr>
          <xdr:spPr>
            <a:xfrm>
              <a:off x="219" y="295"/>
              <a:ext cx="1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21"/>
            <xdr:cNvSpPr>
              <a:spLocks/>
            </xdr:cNvSpPr>
          </xdr:nvSpPr>
          <xdr:spPr>
            <a:xfrm>
              <a:off x="219" y="204"/>
              <a:ext cx="185" cy="180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Text Box 26"/>
          <xdr:cNvSpPr txBox="1">
            <a:spLocks noChangeArrowheads="1"/>
          </xdr:cNvSpPr>
        </xdr:nvSpPr>
        <xdr:spPr>
          <a:xfrm>
            <a:off x="181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0" name="Text Box 27"/>
          <xdr:cNvSpPr txBox="1">
            <a:spLocks noChangeArrowheads="1"/>
          </xdr:cNvSpPr>
        </xdr:nvSpPr>
        <xdr:spPr>
          <a:xfrm>
            <a:off x="19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1" name="Text Box 28"/>
          <xdr:cNvSpPr txBox="1">
            <a:spLocks noChangeArrowheads="1"/>
          </xdr:cNvSpPr>
        </xdr:nvSpPr>
        <xdr:spPr>
          <a:xfrm>
            <a:off x="92" y="88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  <xdr:sp>
        <xdr:nvSpPr>
          <xdr:cNvPr id="12" name="Text Box 29"/>
          <xdr:cNvSpPr txBox="1">
            <a:spLocks noChangeArrowheads="1"/>
          </xdr:cNvSpPr>
        </xdr:nvSpPr>
        <xdr:spPr>
          <a:xfrm>
            <a:off x="92" y="104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5</xdr:col>
      <xdr:colOff>0</xdr:colOff>
      <xdr:row>19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2085975" y="1943100"/>
          <a:ext cx="1762125" cy="1714500"/>
          <a:chOff x="219" y="204"/>
          <a:chExt cx="185" cy="180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314" y="204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219" y="295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219" y="204"/>
            <a:ext cx="185" cy="1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13</xdr:row>
      <xdr:rowOff>57150</xdr:rowOff>
    </xdr:from>
    <xdr:to>
      <xdr:col>10</xdr:col>
      <xdr:colOff>619125</xdr:colOff>
      <xdr:row>25</xdr:row>
      <xdr:rowOff>133350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552700"/>
          <a:ext cx="5486400" cy="2019300"/>
        </a:xfrm>
        <a:prstGeom prst="rect">
          <a:avLst/>
        </a:prstGeom>
        <a:solidFill>
          <a:srgbClr val="FFFFC0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10</xdr:row>
      <xdr:rowOff>66675</xdr:rowOff>
    </xdr:from>
    <xdr:to>
      <xdr:col>8</xdr:col>
      <xdr:colOff>495300</xdr:colOff>
      <xdr:row>19</xdr:row>
      <xdr:rowOff>66675</xdr:rowOff>
    </xdr:to>
    <xdr:sp>
      <xdr:nvSpPr>
        <xdr:cNvPr id="1" name="Oval 1"/>
        <xdr:cNvSpPr>
          <a:spLocks/>
        </xdr:cNvSpPr>
      </xdr:nvSpPr>
      <xdr:spPr>
        <a:xfrm>
          <a:off x="4800600" y="2085975"/>
          <a:ext cx="1800225" cy="1714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12</xdr:row>
      <xdr:rowOff>28575</xdr:rowOff>
    </xdr:from>
    <xdr:to>
      <xdr:col>8</xdr:col>
      <xdr:colOff>314325</xdr:colOff>
      <xdr:row>15</xdr:row>
      <xdr:rowOff>180975</xdr:rowOff>
    </xdr:to>
    <xdr:sp>
      <xdr:nvSpPr>
        <xdr:cNvPr id="2" name="Line 4"/>
        <xdr:cNvSpPr>
          <a:spLocks/>
        </xdr:cNvSpPr>
      </xdr:nvSpPr>
      <xdr:spPr>
        <a:xfrm flipV="1">
          <a:off x="5695950" y="2428875"/>
          <a:ext cx="7239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12</xdr:row>
      <xdr:rowOff>28575</xdr:rowOff>
    </xdr:from>
    <xdr:to>
      <xdr:col>8</xdr:col>
      <xdr:colOff>304800</xdr:colOff>
      <xdr:row>12</xdr:row>
      <xdr:rowOff>28575</xdr:rowOff>
    </xdr:to>
    <xdr:sp>
      <xdr:nvSpPr>
        <xdr:cNvPr id="3" name="Line 9"/>
        <xdr:cNvSpPr>
          <a:spLocks/>
        </xdr:cNvSpPr>
      </xdr:nvSpPr>
      <xdr:spPr>
        <a:xfrm>
          <a:off x="4972050" y="24288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12</xdr:row>
      <xdr:rowOff>28575</xdr:rowOff>
    </xdr:from>
    <xdr:to>
      <xdr:col>7</xdr:col>
      <xdr:colOff>428625</xdr:colOff>
      <xdr:row>15</xdr:row>
      <xdr:rowOff>180975</xdr:rowOff>
    </xdr:to>
    <xdr:sp>
      <xdr:nvSpPr>
        <xdr:cNvPr id="4" name="Line 8"/>
        <xdr:cNvSpPr>
          <a:spLocks/>
        </xdr:cNvSpPr>
      </xdr:nvSpPr>
      <xdr:spPr>
        <a:xfrm flipH="1" flipV="1">
          <a:off x="4972050" y="2428875"/>
          <a:ext cx="7239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14</xdr:row>
      <xdr:rowOff>114300</xdr:rowOff>
    </xdr:from>
    <xdr:to>
      <xdr:col>7</xdr:col>
      <xdr:colOff>685800</xdr:colOff>
      <xdr:row>14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5762625" y="2895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14</xdr:row>
      <xdr:rowOff>114300</xdr:rowOff>
    </xdr:from>
    <xdr:to>
      <xdr:col>7</xdr:col>
      <xdr:colOff>342900</xdr:colOff>
      <xdr:row>14</xdr:row>
      <xdr:rowOff>114300</xdr:rowOff>
    </xdr:to>
    <xdr:sp>
      <xdr:nvSpPr>
        <xdr:cNvPr id="6" name="Line 12"/>
        <xdr:cNvSpPr>
          <a:spLocks/>
        </xdr:cNvSpPr>
      </xdr:nvSpPr>
      <xdr:spPr>
        <a:xfrm flipH="1" flipV="1">
          <a:off x="5448300" y="28956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12</xdr:row>
      <xdr:rowOff>142875</xdr:rowOff>
    </xdr:from>
    <xdr:to>
      <xdr:col>8</xdr:col>
      <xdr:colOff>390525</xdr:colOff>
      <xdr:row>14</xdr:row>
      <xdr:rowOff>38100</xdr:rowOff>
    </xdr:to>
    <xdr:sp>
      <xdr:nvSpPr>
        <xdr:cNvPr id="7" name="Line 13"/>
        <xdr:cNvSpPr>
          <a:spLocks/>
        </xdr:cNvSpPr>
      </xdr:nvSpPr>
      <xdr:spPr>
        <a:xfrm flipV="1">
          <a:off x="6219825" y="2543175"/>
          <a:ext cx="2762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15</xdr:row>
      <xdr:rowOff>9525</xdr:rowOff>
    </xdr:from>
    <xdr:to>
      <xdr:col>7</xdr:col>
      <xdr:colOff>809625</xdr:colOff>
      <xdr:row>16</xdr:row>
      <xdr:rowOff>85725</xdr:rowOff>
    </xdr:to>
    <xdr:sp>
      <xdr:nvSpPr>
        <xdr:cNvPr id="8" name="Line 14"/>
        <xdr:cNvSpPr>
          <a:spLocks/>
        </xdr:cNvSpPr>
      </xdr:nvSpPr>
      <xdr:spPr>
        <a:xfrm flipH="1">
          <a:off x="5819775" y="2981325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8</xdr:row>
      <xdr:rowOff>171450</xdr:rowOff>
    </xdr:from>
    <xdr:to>
      <xdr:col>6</xdr:col>
      <xdr:colOff>542925</xdr:colOff>
      <xdr:row>11</xdr:row>
      <xdr:rowOff>171450</xdr:rowOff>
    </xdr:to>
    <xdr:sp>
      <xdr:nvSpPr>
        <xdr:cNvPr id="9" name="Line 15"/>
        <xdr:cNvSpPr>
          <a:spLocks/>
        </xdr:cNvSpPr>
      </xdr:nvSpPr>
      <xdr:spPr>
        <a:xfrm flipV="1">
          <a:off x="4972050" y="18097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8</xdr:row>
      <xdr:rowOff>180975</xdr:rowOff>
    </xdr:from>
    <xdr:to>
      <xdr:col>8</xdr:col>
      <xdr:colOff>323850</xdr:colOff>
      <xdr:row>11</xdr:row>
      <xdr:rowOff>152400</xdr:rowOff>
    </xdr:to>
    <xdr:sp>
      <xdr:nvSpPr>
        <xdr:cNvPr id="10" name="Line 16"/>
        <xdr:cNvSpPr>
          <a:spLocks/>
        </xdr:cNvSpPr>
      </xdr:nvSpPr>
      <xdr:spPr>
        <a:xfrm flipV="1">
          <a:off x="6429375" y="18192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9</xdr:row>
      <xdr:rowOff>114300</xdr:rowOff>
    </xdr:from>
    <xdr:to>
      <xdr:col>8</xdr:col>
      <xdr:colOff>323850</xdr:colOff>
      <xdr:row>9</xdr:row>
      <xdr:rowOff>114300</xdr:rowOff>
    </xdr:to>
    <xdr:sp>
      <xdr:nvSpPr>
        <xdr:cNvPr id="11" name="Line 17"/>
        <xdr:cNvSpPr>
          <a:spLocks/>
        </xdr:cNvSpPr>
      </xdr:nvSpPr>
      <xdr:spPr>
        <a:xfrm>
          <a:off x="5781675" y="1943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9</xdr:row>
      <xdr:rowOff>114300</xdr:rowOff>
    </xdr:from>
    <xdr:to>
      <xdr:col>7</xdr:col>
      <xdr:colOff>352425</xdr:colOff>
      <xdr:row>9</xdr:row>
      <xdr:rowOff>114300</xdr:rowOff>
    </xdr:to>
    <xdr:sp>
      <xdr:nvSpPr>
        <xdr:cNvPr id="12" name="Line 18"/>
        <xdr:cNvSpPr>
          <a:spLocks/>
        </xdr:cNvSpPr>
      </xdr:nvSpPr>
      <xdr:spPr>
        <a:xfrm flipH="1" flipV="1">
          <a:off x="4972050" y="1943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10</xdr:row>
      <xdr:rowOff>133350</xdr:rowOff>
    </xdr:from>
    <xdr:to>
      <xdr:col>7</xdr:col>
      <xdr:colOff>523875</xdr:colOff>
      <xdr:row>11</xdr:row>
      <xdr:rowOff>123825</xdr:rowOff>
    </xdr:to>
    <xdr:sp>
      <xdr:nvSpPr>
        <xdr:cNvPr id="13" name="Text 19"/>
        <xdr:cNvSpPr txBox="1">
          <a:spLocks noChangeArrowheads="1"/>
        </xdr:cNvSpPr>
      </xdr:nvSpPr>
      <xdr:spPr>
        <a:xfrm>
          <a:off x="5629275" y="2152650"/>
          <a:ext cx="161925" cy="18097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438150</xdr:colOff>
      <xdr:row>11</xdr:row>
      <xdr:rowOff>123825</xdr:rowOff>
    </xdr:from>
    <xdr:to>
      <xdr:col>7</xdr:col>
      <xdr:colOff>438150</xdr:colOff>
      <xdr:row>12</xdr:row>
      <xdr:rowOff>28575</xdr:rowOff>
    </xdr:to>
    <xdr:sp>
      <xdr:nvSpPr>
        <xdr:cNvPr id="14" name="Line 20"/>
        <xdr:cNvSpPr>
          <a:spLocks/>
        </xdr:cNvSpPr>
      </xdr:nvSpPr>
      <xdr:spPr>
        <a:xfrm>
          <a:off x="5705475" y="2333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10</xdr:row>
      <xdr:rowOff>66675</xdr:rowOff>
    </xdr:from>
    <xdr:to>
      <xdr:col>7</xdr:col>
      <xdr:colOff>438150</xdr:colOff>
      <xdr:row>10</xdr:row>
      <xdr:rowOff>152400</xdr:rowOff>
    </xdr:to>
    <xdr:sp>
      <xdr:nvSpPr>
        <xdr:cNvPr id="15" name="Line 21"/>
        <xdr:cNvSpPr>
          <a:spLocks/>
        </xdr:cNvSpPr>
      </xdr:nvSpPr>
      <xdr:spPr>
        <a:xfrm flipV="1">
          <a:off x="5705475" y="20859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velink.aramco.com.sa/livelink/livelink.exe?func=ll&amp;objId=12074124&amp;objAction=browse&amp;sort=name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EA23"/>
  <sheetViews>
    <sheetView showGridLines="0" showRowColHeaders="0" zoomScale="110" zoomScaleNormal="110" zoomScalePageLayoutView="0" workbookViewId="0" topLeftCell="A1">
      <selection activeCell="E7" sqref="E7"/>
    </sheetView>
  </sheetViews>
  <sheetFormatPr defaultColWidth="7.10546875" defaultRowHeight="15" customHeight="1"/>
  <cols>
    <col min="1" max="1" width="2.10546875" style="544" customWidth="1"/>
    <col min="2" max="2" width="7.10546875" style="522" customWidth="1"/>
    <col min="3" max="3" width="7.3359375" style="522" customWidth="1"/>
    <col min="4" max="4" width="0" style="522" hidden="1" customWidth="1"/>
    <col min="5" max="5" width="7.10546875" style="522" customWidth="1"/>
    <col min="6" max="6" width="1.88671875" style="522" customWidth="1"/>
    <col min="7" max="7" width="7.10546875" style="522" customWidth="1"/>
    <col min="8" max="8" width="7.3359375" style="522" customWidth="1"/>
    <col min="9" max="9" width="0" style="522" hidden="1" customWidth="1"/>
    <col min="10" max="10" width="7.10546875" style="522" customWidth="1"/>
    <col min="11" max="11" width="1.77734375" style="522" customWidth="1"/>
    <col min="12" max="12" width="7.10546875" style="522" customWidth="1"/>
    <col min="13" max="13" width="7.3359375" style="522" customWidth="1"/>
    <col min="14" max="14" width="0" style="522" hidden="1" customWidth="1"/>
    <col min="15" max="15" width="7.10546875" style="522" customWidth="1"/>
    <col min="16" max="16" width="1.99609375" style="522" customWidth="1"/>
    <col min="17" max="17" width="7.10546875" style="522" customWidth="1"/>
    <col min="18" max="18" width="7.4453125" style="522" customWidth="1"/>
    <col min="19" max="19" width="0" style="522" hidden="1" customWidth="1"/>
    <col min="20" max="20" width="7.10546875" style="522" customWidth="1"/>
    <col min="21" max="21" width="2.10546875" style="524" customWidth="1"/>
    <col min="22" max="23" width="7.10546875" style="524" customWidth="1"/>
    <col min="24" max="24" width="2.4453125" style="524" customWidth="1"/>
    <col min="25" max="25" width="3.10546875" style="539" customWidth="1"/>
    <col min="26" max="26" width="7.3359375" style="524" customWidth="1"/>
    <col min="27" max="27" width="7.10546875" style="524" customWidth="1"/>
    <col min="28" max="28" width="7.10546875" style="540" customWidth="1"/>
    <col min="29" max="29" width="8.21484375" style="540" customWidth="1"/>
    <col min="30" max="30" width="7.10546875" style="524" customWidth="1"/>
    <col min="31" max="31" width="3.10546875" style="539" customWidth="1"/>
    <col min="32" max="32" width="7.3359375" style="524" customWidth="1"/>
    <col min="33" max="33" width="7.10546875" style="524" customWidth="1"/>
    <col min="34" max="34" width="7.10546875" style="540" customWidth="1"/>
    <col min="35" max="35" width="8.21484375" style="540" customWidth="1"/>
    <col min="36" max="36" width="7.10546875" style="524" customWidth="1"/>
    <col min="37" max="37" width="3.10546875" style="539" customWidth="1"/>
    <col min="38" max="38" width="7.3359375" style="524" customWidth="1"/>
    <col min="39" max="39" width="7.10546875" style="524" customWidth="1"/>
    <col min="40" max="40" width="7.10546875" style="540" customWidth="1"/>
    <col min="41" max="41" width="8.21484375" style="540" customWidth="1"/>
    <col min="42" max="42" width="7.10546875" style="524" customWidth="1"/>
    <col min="43" max="43" width="3.10546875" style="539" customWidth="1"/>
    <col min="44" max="44" width="7.3359375" style="524" customWidth="1"/>
    <col min="45" max="45" width="7.10546875" style="524" customWidth="1"/>
    <col min="46" max="46" width="7.10546875" style="540" customWidth="1"/>
    <col min="47" max="47" width="8.21484375" style="540" customWidth="1"/>
    <col min="48" max="48" width="7.10546875" style="524" customWidth="1"/>
    <col min="49" max="49" width="3.10546875" style="539" customWidth="1"/>
    <col min="50" max="50" width="7.3359375" style="524" customWidth="1"/>
    <col min="51" max="51" width="7.10546875" style="524" customWidth="1"/>
    <col min="52" max="52" width="7.10546875" style="540" customWidth="1"/>
    <col min="53" max="53" width="8.21484375" style="540" customWidth="1"/>
    <col min="54" max="54" width="7.10546875" style="524" customWidth="1"/>
    <col min="55" max="55" width="3.10546875" style="539" customWidth="1"/>
    <col min="56" max="56" width="7.3359375" style="524" customWidth="1"/>
    <col min="57" max="57" width="7.10546875" style="524" customWidth="1"/>
    <col min="58" max="58" width="7.10546875" style="540" customWidth="1"/>
    <col min="59" max="59" width="8.21484375" style="540" customWidth="1"/>
    <col min="60" max="60" width="7.10546875" style="524" customWidth="1"/>
    <col min="61" max="61" width="3.10546875" style="539" customWidth="1"/>
    <col min="62" max="62" width="7.3359375" style="524" customWidth="1"/>
    <col min="63" max="63" width="7.10546875" style="524" customWidth="1"/>
    <col min="64" max="64" width="7.10546875" style="540" customWidth="1"/>
    <col min="65" max="65" width="8.21484375" style="540" customWidth="1"/>
    <col min="66" max="66" width="7.10546875" style="524" customWidth="1"/>
    <col min="67" max="67" width="3.10546875" style="539" customWidth="1"/>
    <col min="68" max="68" width="7.3359375" style="524" customWidth="1"/>
    <col min="69" max="69" width="7.10546875" style="524" customWidth="1"/>
    <col min="70" max="70" width="7.10546875" style="540" customWidth="1"/>
    <col min="71" max="71" width="8.21484375" style="540" customWidth="1"/>
    <col min="72" max="72" width="7.10546875" style="524" customWidth="1"/>
    <col min="73" max="73" width="3.10546875" style="539" customWidth="1"/>
    <col min="74" max="74" width="7.3359375" style="524" customWidth="1"/>
    <col min="75" max="75" width="7.10546875" style="524" customWidth="1"/>
    <col min="76" max="76" width="7.10546875" style="540" customWidth="1"/>
    <col min="77" max="77" width="8.21484375" style="540" customWidth="1"/>
    <col min="78" max="78" width="7.10546875" style="524" customWidth="1"/>
    <col min="79" max="79" width="3.10546875" style="539" customWidth="1"/>
    <col min="80" max="80" width="7.3359375" style="524" customWidth="1"/>
    <col min="81" max="81" width="7.10546875" style="524" customWidth="1"/>
    <col min="82" max="82" width="7.10546875" style="540" customWidth="1"/>
    <col min="83" max="83" width="8.21484375" style="540" customWidth="1"/>
    <col min="84" max="84" width="7.10546875" style="524" customWidth="1"/>
    <col min="85" max="85" width="3.10546875" style="539" customWidth="1"/>
    <col min="86" max="86" width="7.3359375" style="524" customWidth="1"/>
    <col min="87" max="87" width="7.10546875" style="524" customWidth="1"/>
    <col min="88" max="88" width="7.10546875" style="540" customWidth="1"/>
    <col min="89" max="89" width="8.21484375" style="540" customWidth="1"/>
    <col min="90" max="90" width="7.10546875" style="524" customWidth="1"/>
    <col min="91" max="91" width="3.10546875" style="539" customWidth="1"/>
    <col min="92" max="92" width="7.3359375" style="524" customWidth="1"/>
    <col min="93" max="93" width="7.10546875" style="524" customWidth="1"/>
    <col min="94" max="94" width="7.10546875" style="540" customWidth="1"/>
    <col min="95" max="95" width="8.21484375" style="540" customWidth="1"/>
    <col min="96" max="96" width="7.10546875" style="524" customWidth="1"/>
    <col min="97" max="97" width="3.10546875" style="539" customWidth="1"/>
    <col min="98" max="98" width="7.3359375" style="524" customWidth="1"/>
    <col min="99" max="99" width="7.10546875" style="524" customWidth="1"/>
    <col min="100" max="100" width="7.10546875" style="540" customWidth="1"/>
    <col min="101" max="101" width="8.21484375" style="540" customWidth="1"/>
    <col min="102" max="102" width="7.10546875" style="524" customWidth="1"/>
    <col min="103" max="103" width="3.10546875" style="539" customWidth="1"/>
    <col min="104" max="104" width="9.6640625" style="524" customWidth="1"/>
    <col min="105" max="105" width="7.10546875" style="524" customWidth="1"/>
    <col min="106" max="106" width="7.10546875" style="540" customWidth="1"/>
    <col min="107" max="107" width="8.21484375" style="540" customWidth="1"/>
    <col min="108" max="108" width="7.10546875" style="524" customWidth="1"/>
    <col min="109" max="109" width="3.10546875" style="539" customWidth="1"/>
    <col min="110" max="110" width="9.6640625" style="524" customWidth="1"/>
    <col min="111" max="111" width="7.10546875" style="524" customWidth="1"/>
    <col min="112" max="112" width="7.10546875" style="540" customWidth="1"/>
    <col min="113" max="113" width="8.21484375" style="540" customWidth="1"/>
    <col min="114" max="114" width="7.10546875" style="524" customWidth="1"/>
    <col min="115" max="115" width="3.10546875" style="539" customWidth="1"/>
    <col min="116" max="116" width="9.6640625" style="524" customWidth="1"/>
    <col min="117" max="117" width="7.10546875" style="524" customWidth="1"/>
    <col min="118" max="118" width="7.10546875" style="540" customWidth="1"/>
    <col min="119" max="119" width="8.21484375" style="540" customWidth="1"/>
    <col min="120" max="120" width="7.10546875" style="524" customWidth="1"/>
    <col min="121" max="121" width="3.10546875" style="539" customWidth="1"/>
    <col min="122" max="122" width="9.6640625" style="524" customWidth="1"/>
    <col min="123" max="123" width="7.10546875" style="524" customWidth="1"/>
    <col min="124" max="124" width="7.10546875" style="540" customWidth="1"/>
    <col min="125" max="125" width="8.21484375" style="540" customWidth="1"/>
    <col min="126" max="126" width="7.10546875" style="524" customWidth="1"/>
    <col min="127" max="127" width="3.10546875" style="539" customWidth="1"/>
    <col min="128" max="128" width="9.6640625" style="524" customWidth="1"/>
    <col min="129" max="129" width="7.10546875" style="524" customWidth="1"/>
    <col min="130" max="130" width="7.10546875" style="540" customWidth="1"/>
    <col min="131" max="131" width="8.21484375" style="540" customWidth="1"/>
    <col min="132" max="16384" width="7.10546875" style="524" customWidth="1"/>
  </cols>
  <sheetData>
    <row r="1" spans="1:131" ht="15" customHeight="1">
      <c r="A1" s="522"/>
      <c r="F1" s="523"/>
      <c r="K1" s="523"/>
      <c r="P1" s="523"/>
      <c r="V1" s="525"/>
      <c r="Y1" s="524"/>
      <c r="AB1" s="524"/>
      <c r="AC1" s="524"/>
      <c r="AE1" s="524"/>
      <c r="AH1" s="524"/>
      <c r="AI1" s="524"/>
      <c r="AK1" s="524"/>
      <c r="AN1" s="524"/>
      <c r="AO1" s="524"/>
      <c r="AQ1" s="524"/>
      <c r="AT1" s="524"/>
      <c r="AU1" s="524"/>
      <c r="AW1" s="524"/>
      <c r="AZ1" s="524"/>
      <c r="BA1" s="524"/>
      <c r="BC1" s="524"/>
      <c r="BF1" s="524"/>
      <c r="BG1" s="524"/>
      <c r="BI1" s="524"/>
      <c r="BL1" s="524"/>
      <c r="BM1" s="524"/>
      <c r="BO1" s="524"/>
      <c r="BR1" s="524"/>
      <c r="BS1" s="524"/>
      <c r="BU1" s="524"/>
      <c r="BX1" s="524"/>
      <c r="BY1" s="524"/>
      <c r="CA1" s="524"/>
      <c r="CD1" s="524"/>
      <c r="CE1" s="524"/>
      <c r="CG1" s="524"/>
      <c r="CJ1" s="524"/>
      <c r="CK1" s="524"/>
      <c r="CM1" s="524"/>
      <c r="CP1" s="524"/>
      <c r="CQ1" s="524"/>
      <c r="CS1" s="524"/>
      <c r="CV1" s="524"/>
      <c r="CW1" s="524"/>
      <c r="CY1" s="524"/>
      <c r="DB1" s="524"/>
      <c r="DC1" s="524"/>
      <c r="DE1" s="524"/>
      <c r="DH1" s="524"/>
      <c r="DI1" s="524"/>
      <c r="DK1" s="524"/>
      <c r="DN1" s="524"/>
      <c r="DO1" s="524"/>
      <c r="DQ1" s="524"/>
      <c r="DT1" s="524"/>
      <c r="DU1" s="524"/>
      <c r="DW1" s="524"/>
      <c r="DZ1" s="524"/>
      <c r="EA1" s="524"/>
    </row>
    <row r="2" spans="1:131" ht="15" customHeight="1" thickBot="1">
      <c r="A2" s="526"/>
      <c r="B2" s="527" t="s">
        <v>1016</v>
      </c>
      <c r="C2" s="528"/>
      <c r="D2" s="528"/>
      <c r="E2" s="529"/>
      <c r="F2" s="530"/>
      <c r="G2" s="527" t="s">
        <v>700</v>
      </c>
      <c r="H2" s="528"/>
      <c r="I2" s="528"/>
      <c r="J2" s="529"/>
      <c r="K2" s="531"/>
      <c r="L2" s="527" t="s">
        <v>701</v>
      </c>
      <c r="M2" s="528"/>
      <c r="N2" s="528"/>
      <c r="O2" s="529"/>
      <c r="P2" s="531"/>
      <c r="Q2" s="527" t="s">
        <v>702</v>
      </c>
      <c r="R2" s="528"/>
      <c r="S2" s="528"/>
      <c r="T2" s="529"/>
      <c r="U2" s="532"/>
      <c r="V2" s="525"/>
      <c r="Y2" s="524"/>
      <c r="AB2" s="524"/>
      <c r="AC2" s="524"/>
      <c r="AE2" s="524"/>
      <c r="AH2" s="524"/>
      <c r="AI2" s="524"/>
      <c r="AK2" s="524"/>
      <c r="AN2" s="524"/>
      <c r="AO2" s="524"/>
      <c r="AQ2" s="524"/>
      <c r="AT2" s="524"/>
      <c r="AU2" s="524"/>
      <c r="AW2" s="524"/>
      <c r="AZ2" s="524"/>
      <c r="BA2" s="524"/>
      <c r="BC2" s="524"/>
      <c r="BF2" s="524"/>
      <c r="BG2" s="524"/>
      <c r="BI2" s="524"/>
      <c r="BL2" s="524"/>
      <c r="BM2" s="524"/>
      <c r="BO2" s="524"/>
      <c r="BR2" s="524"/>
      <c r="BS2" s="524"/>
      <c r="BU2" s="524"/>
      <c r="BX2" s="524"/>
      <c r="BY2" s="524"/>
      <c r="CA2" s="524"/>
      <c r="CD2" s="524"/>
      <c r="CE2" s="524"/>
      <c r="CF2" s="533"/>
      <c r="CG2" s="524"/>
      <c r="CJ2" s="524"/>
      <c r="CK2" s="524"/>
      <c r="CM2" s="524"/>
      <c r="CP2" s="524"/>
      <c r="CQ2" s="524"/>
      <c r="CS2" s="524"/>
      <c r="CV2" s="524"/>
      <c r="CW2" s="524"/>
      <c r="CX2" s="533"/>
      <c r="CY2" s="533"/>
      <c r="CZ2" s="533"/>
      <c r="DA2" s="533"/>
      <c r="DB2" s="533"/>
      <c r="DC2" s="524"/>
      <c r="DE2" s="524"/>
      <c r="DH2" s="524"/>
      <c r="DI2" s="524"/>
      <c r="DK2" s="524"/>
      <c r="DN2" s="524"/>
      <c r="DO2" s="524"/>
      <c r="DQ2" s="524"/>
      <c r="DT2" s="524"/>
      <c r="DU2" s="524"/>
      <c r="DW2" s="524"/>
      <c r="DZ2" s="524"/>
      <c r="EA2" s="524"/>
    </row>
    <row r="3" spans="1:131" ht="15" customHeight="1" thickBot="1">
      <c r="A3" s="534"/>
      <c r="B3" s="535"/>
      <c r="C3" s="535"/>
      <c r="D3" s="536">
        <v>3</v>
      </c>
      <c r="E3" s="537">
        <v>5.7</v>
      </c>
      <c r="F3" s="538"/>
      <c r="G3" s="535"/>
      <c r="H3" s="535"/>
      <c r="I3" s="536">
        <v>1</v>
      </c>
      <c r="J3" s="537">
        <v>1800</v>
      </c>
      <c r="K3" s="538"/>
      <c r="L3" s="535"/>
      <c r="M3" s="535"/>
      <c r="N3" s="536">
        <v>1</v>
      </c>
      <c r="O3" s="537">
        <v>1</v>
      </c>
      <c r="P3" s="538"/>
      <c r="Q3" s="535"/>
      <c r="R3" s="535"/>
      <c r="S3" s="536">
        <v>1</v>
      </c>
      <c r="T3" s="537">
        <v>1</v>
      </c>
      <c r="U3" s="532"/>
      <c r="V3" s="525"/>
      <c r="AB3" s="540">
        <f>VLOOKUP(D3,Y4:AA12,3,FALSE)</f>
        <v>1</v>
      </c>
      <c r="AC3" s="540">
        <f>+E3/AB3</f>
        <v>5.7</v>
      </c>
      <c r="AH3" s="540">
        <f>VLOOKUP(D7,AE4:AG14,3,FALSE)</f>
        <v>0.1781076</v>
      </c>
      <c r="AI3" s="540">
        <f>+E7/AH3</f>
        <v>5.614583543880216</v>
      </c>
      <c r="AN3" s="540">
        <f>VLOOKUP(D11,AK4:AM11,3,FALSE)</f>
        <v>1</v>
      </c>
      <c r="AO3" s="540">
        <f>+E11/AN3</f>
        <v>1</v>
      </c>
      <c r="AT3" s="540">
        <f>VLOOKUP(D15,AQ4:AS17,3,FALSE)</f>
        <v>101.9407</v>
      </c>
      <c r="AU3" s="540">
        <f>+E15/AT3</f>
        <v>4.806716061396478</v>
      </c>
      <c r="AZ3" s="540">
        <f>VLOOKUP(D19,AW4:AY15,3,FALSE)</f>
        <v>1</v>
      </c>
      <c r="BA3" s="540">
        <f>+E19/AZ3</f>
        <v>14.7</v>
      </c>
      <c r="BF3" s="540">
        <f>VLOOKUP(I3,BC4:BE15,3,FALSE)</f>
        <v>1</v>
      </c>
      <c r="BG3" s="540">
        <f>+J3/BF3</f>
        <v>1800</v>
      </c>
      <c r="BL3" s="540">
        <f>VLOOKUP(I7,BI4:BK13,3,FALSE)</f>
        <v>1</v>
      </c>
      <c r="BM3" s="540">
        <f>+J7/BL3</f>
        <v>13650</v>
      </c>
      <c r="BR3" s="540">
        <f>VLOOKUP(I11,BO4:BQ14,3,FALSE)</f>
        <v>1</v>
      </c>
      <c r="BS3" s="540">
        <f>+J11/BR3</f>
        <v>45</v>
      </c>
      <c r="BX3" s="540">
        <f>VLOOKUP(I19,BU4:BW14,3,FALSE)</f>
        <v>0.09290304</v>
      </c>
      <c r="BY3" s="540">
        <f>+J19/BX3</f>
        <v>64583.46250025833</v>
      </c>
      <c r="CD3" s="540">
        <f>VLOOKUP(I15,CA4:CC15,3,FALSE)</f>
        <v>1</v>
      </c>
      <c r="CE3" s="540">
        <f>+J15/CD3</f>
        <v>62.4</v>
      </c>
      <c r="CF3" s="533"/>
      <c r="CJ3" s="540">
        <f>VLOOKUP(N3,CG4:CI12,3,FALSE)</f>
        <v>1</v>
      </c>
      <c r="CK3" s="540">
        <f>+O3/CJ3</f>
        <v>1</v>
      </c>
      <c r="CP3" s="540">
        <f>VLOOKUP(N7,CM4:CO10,3,FALSE)</f>
        <v>100</v>
      </c>
      <c r="CQ3" s="540">
        <f>+O7/CP3</f>
        <v>0.01</v>
      </c>
      <c r="CV3" s="540">
        <f>VLOOKUP(N11,CS4:CU14,3,FALSE)</f>
        <v>1</v>
      </c>
      <c r="CW3" s="540">
        <f>+O11/CV3</f>
        <v>1</v>
      </c>
      <c r="DB3" s="540">
        <f>VLOOKUP(N15,CY4:DA8,3,FALSE)</f>
        <v>1</v>
      </c>
      <c r="DC3" s="540">
        <f>+O15/DB3</f>
        <v>1</v>
      </c>
      <c r="DH3" s="540">
        <f>VLOOKUP(N19,DE4:DG8,3,FALSE)</f>
        <v>1</v>
      </c>
      <c r="DI3" s="540">
        <f>+O19/DH3</f>
        <v>1</v>
      </c>
      <c r="DN3" s="540">
        <f>VLOOKUP(S3,DK4:DM8,3,FALSE)</f>
        <v>1</v>
      </c>
      <c r="DO3" s="540">
        <f>+T3/DN3</f>
        <v>1</v>
      </c>
      <c r="DT3" s="540">
        <f>VLOOKUP(S7,DQ4:DS8,3,FALSE)</f>
        <v>1</v>
      </c>
      <c r="DU3" s="540">
        <f>+T7/DT3</f>
        <v>1</v>
      </c>
      <c r="DZ3" s="540">
        <f>VLOOKUP(S11,DW4:DY8,3,FALSE)</f>
        <v>1</v>
      </c>
      <c r="EA3" s="540">
        <f>+T11/DZ3</f>
        <v>1</v>
      </c>
    </row>
    <row r="4" spans="1:130" ht="15" customHeight="1">
      <c r="A4" s="534"/>
      <c r="B4" s="535"/>
      <c r="C4" s="535"/>
      <c r="D4" s="536">
        <v>4</v>
      </c>
      <c r="E4" s="541">
        <f>VLOOKUP(D4,Y4:AB12,4,FALSE)</f>
        <v>68.4</v>
      </c>
      <c r="F4" s="538"/>
      <c r="G4" s="535"/>
      <c r="H4" s="535"/>
      <c r="I4" s="536">
        <v>3</v>
      </c>
      <c r="J4" s="541">
        <f>VLOOKUP(I4,BC4:BF15,4,FALSE)</f>
        <v>381.67073999999997</v>
      </c>
      <c r="K4" s="538"/>
      <c r="L4" s="535"/>
      <c r="M4" s="535"/>
      <c r="N4" s="536">
        <v>5</v>
      </c>
      <c r="O4" s="541">
        <f>VLOOKUP(N4,CG4:CJ12,4,FALSE)</f>
        <v>0.000671969</v>
      </c>
      <c r="P4" s="538"/>
      <c r="Q4" s="535"/>
      <c r="R4" s="535"/>
      <c r="S4" s="536">
        <v>5</v>
      </c>
      <c r="T4" s="541">
        <f>VLOOKUP(S4,DK4:DN8,4,FALSE)</f>
        <v>3.154591</v>
      </c>
      <c r="U4" s="532"/>
      <c r="V4" s="525"/>
      <c r="Y4" s="542">
        <v>1</v>
      </c>
      <c r="Z4" s="540" t="s">
        <v>703</v>
      </c>
      <c r="AA4" s="543">
        <v>0.0001893939</v>
      </c>
      <c r="AB4" s="540">
        <f aca="true" t="shared" si="0" ref="AB4:AB12">+AA4*$AC$3</f>
        <v>0.00107954523</v>
      </c>
      <c r="AE4" s="542">
        <v>1</v>
      </c>
      <c r="AF4" s="540" t="s">
        <v>834</v>
      </c>
      <c r="AG4" s="543">
        <v>0.03703704</v>
      </c>
      <c r="AH4" s="540">
        <f aca="true" t="shared" si="1" ref="AH4:AH14">+AG4*$AI$3</f>
        <v>0.20794755529803333</v>
      </c>
      <c r="AK4" s="542">
        <v>1</v>
      </c>
      <c r="AL4" s="540" t="s">
        <v>704</v>
      </c>
      <c r="AM4" s="543">
        <v>0.0003786675</v>
      </c>
      <c r="AN4" s="540">
        <f aca="true" t="shared" si="2" ref="AN4:AN11">+AM4*$AO$3</f>
        <v>0.0003786675</v>
      </c>
      <c r="AQ4" s="542">
        <v>1</v>
      </c>
      <c r="AR4" s="540" t="s">
        <v>835</v>
      </c>
      <c r="AS4" s="543">
        <v>1</v>
      </c>
      <c r="AT4" s="540">
        <f aca="true" t="shared" si="3" ref="AT4:AT17">+AS4*$AU$3</f>
        <v>4.806716061396478</v>
      </c>
      <c r="AW4" s="542">
        <v>1</v>
      </c>
      <c r="AX4" s="540" t="s">
        <v>705</v>
      </c>
      <c r="AY4" s="543">
        <v>1</v>
      </c>
      <c r="AZ4" s="540">
        <f aca="true" t="shared" si="4" ref="AZ4:AZ15">+AY4*$BA$3</f>
        <v>14.7</v>
      </c>
      <c r="BC4" s="542">
        <v>1</v>
      </c>
      <c r="BD4" s="540" t="s">
        <v>706</v>
      </c>
      <c r="BE4" s="543">
        <v>1</v>
      </c>
      <c r="BF4" s="540">
        <f aca="true" t="shared" si="5" ref="BF4:BF15">+BE4*$BG$3</f>
        <v>1800</v>
      </c>
      <c r="BI4" s="542">
        <v>1</v>
      </c>
      <c r="BJ4" s="540" t="s">
        <v>707</v>
      </c>
      <c r="BK4" s="543">
        <v>0.0003930148</v>
      </c>
      <c r="BL4" s="540">
        <f aca="true" t="shared" si="6" ref="BL4:BL13">+BK4*$BM$3</f>
        <v>5.36465202</v>
      </c>
      <c r="BO4" s="542">
        <v>1</v>
      </c>
      <c r="BP4" s="540" t="s">
        <v>708</v>
      </c>
      <c r="BQ4" s="543">
        <v>0.00098421</v>
      </c>
      <c r="BR4" s="540">
        <f aca="true" t="shared" si="7" ref="BR4:BR14">+BQ4*$BS$3</f>
        <v>0.044289449999999994</v>
      </c>
      <c r="BU4" s="542">
        <v>1</v>
      </c>
      <c r="BV4" s="540" t="s">
        <v>836</v>
      </c>
      <c r="BW4" s="543">
        <v>1</v>
      </c>
      <c r="BX4" s="540">
        <f aca="true" t="shared" si="8" ref="BX4:BX14">+BW4*$BY$3</f>
        <v>64583.46250025833</v>
      </c>
      <c r="CA4" s="542">
        <v>1</v>
      </c>
      <c r="CB4" s="540" t="s">
        <v>837</v>
      </c>
      <c r="CC4" s="543">
        <v>0.01601846</v>
      </c>
      <c r="CD4" s="540">
        <f aca="true" t="shared" si="9" ref="CD4:CD15">+CC4*$CE$3</f>
        <v>0.999551904</v>
      </c>
      <c r="CF4" s="533"/>
      <c r="CG4" s="542">
        <v>1</v>
      </c>
      <c r="CH4" s="540" t="s">
        <v>709</v>
      </c>
      <c r="CI4" s="540">
        <v>1</v>
      </c>
      <c r="CJ4" s="540">
        <f aca="true" t="shared" si="10" ref="CJ4:CJ12">+CI4*$CK$3</f>
        <v>1</v>
      </c>
      <c r="CM4" s="542">
        <v>1</v>
      </c>
      <c r="CN4" s="540" t="s">
        <v>710</v>
      </c>
      <c r="CO4" s="540">
        <v>100</v>
      </c>
      <c r="CP4" s="540">
        <f aca="true" t="shared" si="11" ref="CP4:CP10">+CO4*$CQ$3</f>
        <v>1</v>
      </c>
      <c r="CS4" s="542">
        <v>1</v>
      </c>
      <c r="CT4" s="540" t="s">
        <v>711</v>
      </c>
      <c r="CU4" s="543">
        <v>0.0002777778</v>
      </c>
      <c r="CV4" s="540">
        <f aca="true" t="shared" si="12" ref="CV4:CV14">+CU4*$CW$3</f>
        <v>0.0002777778</v>
      </c>
      <c r="CY4" s="542">
        <v>1</v>
      </c>
      <c r="CZ4" s="540" t="s">
        <v>838</v>
      </c>
      <c r="DA4" s="543">
        <v>1</v>
      </c>
      <c r="DB4" s="540">
        <f>+DA4*$DC$3</f>
        <v>1</v>
      </c>
      <c r="DE4" s="542">
        <v>1</v>
      </c>
      <c r="DF4" s="540" t="s">
        <v>712</v>
      </c>
      <c r="DG4" s="543">
        <v>1</v>
      </c>
      <c r="DH4" s="540">
        <f>+DG4*$DI$3</f>
        <v>1</v>
      </c>
      <c r="DK4" s="542">
        <v>1</v>
      </c>
      <c r="DL4" s="540" t="s">
        <v>839</v>
      </c>
      <c r="DM4" s="543">
        <v>1</v>
      </c>
      <c r="DN4" s="540">
        <f>+DM4*$DO$3</f>
        <v>1</v>
      </c>
      <c r="DQ4" s="542">
        <v>1</v>
      </c>
      <c r="DR4" s="540" t="s">
        <v>713</v>
      </c>
      <c r="DS4" s="543">
        <v>1</v>
      </c>
      <c r="DT4" s="540">
        <f>+DS4*$DU$3</f>
        <v>1</v>
      </c>
      <c r="DW4" s="542">
        <v>1</v>
      </c>
      <c r="DX4" s="540" t="s">
        <v>714</v>
      </c>
      <c r="DY4" s="543">
        <v>1</v>
      </c>
      <c r="DZ4" s="540">
        <f>+DY4*$EA$3</f>
        <v>1</v>
      </c>
    </row>
    <row r="5" spans="5:130" ht="15" customHeight="1">
      <c r="E5" s="545"/>
      <c r="F5" s="523"/>
      <c r="J5" s="545"/>
      <c r="K5" s="523"/>
      <c r="O5" s="545"/>
      <c r="P5" s="523"/>
      <c r="T5" s="545"/>
      <c r="U5" s="546"/>
      <c r="V5" s="525"/>
      <c r="Y5" s="542">
        <v>2</v>
      </c>
      <c r="Z5" s="540" t="s">
        <v>715</v>
      </c>
      <c r="AA5" s="540">
        <v>0.3333334</v>
      </c>
      <c r="AB5" s="540">
        <f t="shared" si="0"/>
        <v>1.90000038</v>
      </c>
      <c r="AE5" s="542">
        <v>2</v>
      </c>
      <c r="AF5" s="540" t="s">
        <v>716</v>
      </c>
      <c r="AG5" s="540">
        <v>0.1781076</v>
      </c>
      <c r="AH5" s="540">
        <f t="shared" si="1"/>
        <v>1</v>
      </c>
      <c r="AK5" s="542">
        <v>2</v>
      </c>
      <c r="AL5" s="540" t="s">
        <v>717</v>
      </c>
      <c r="AM5" s="543">
        <v>0.009088019</v>
      </c>
      <c r="AN5" s="540">
        <f t="shared" si="2"/>
        <v>0.009088019</v>
      </c>
      <c r="AQ5" s="542">
        <v>2</v>
      </c>
      <c r="AR5" s="540" t="s">
        <v>840</v>
      </c>
      <c r="AS5" s="543">
        <v>60</v>
      </c>
      <c r="AT5" s="540">
        <f t="shared" si="3"/>
        <v>288.4029636837887</v>
      </c>
      <c r="AW5" s="542">
        <v>2</v>
      </c>
      <c r="AX5" s="540" t="s">
        <v>718</v>
      </c>
      <c r="AY5" s="543">
        <v>2.041772</v>
      </c>
      <c r="AZ5" s="540">
        <f t="shared" si="4"/>
        <v>30.014048399999997</v>
      </c>
      <c r="BC5" s="542">
        <v>2</v>
      </c>
      <c r="BD5" s="540" t="s">
        <v>719</v>
      </c>
      <c r="BE5" s="540">
        <v>1.0139</v>
      </c>
      <c r="BF5" s="540">
        <f t="shared" si="5"/>
        <v>1825.02</v>
      </c>
      <c r="BI5" s="542">
        <v>2</v>
      </c>
      <c r="BJ5" s="540" t="s">
        <v>720</v>
      </c>
      <c r="BK5" s="540">
        <v>1</v>
      </c>
      <c r="BL5" s="540">
        <f t="shared" si="6"/>
        <v>13650</v>
      </c>
      <c r="BO5" s="542">
        <v>2</v>
      </c>
      <c r="BP5" s="540" t="s">
        <v>721</v>
      </c>
      <c r="BQ5" s="543">
        <v>0.0011023</v>
      </c>
      <c r="BR5" s="540">
        <f t="shared" si="7"/>
        <v>0.0496035</v>
      </c>
      <c r="BU5" s="542">
        <v>2</v>
      </c>
      <c r="BV5" s="540" t="s">
        <v>841</v>
      </c>
      <c r="BW5" s="543">
        <v>144</v>
      </c>
      <c r="BX5" s="540">
        <f t="shared" si="8"/>
        <v>9300018.600037199</v>
      </c>
      <c r="CA5" s="542">
        <v>2</v>
      </c>
      <c r="CB5" s="540" t="s">
        <v>722</v>
      </c>
      <c r="CC5" s="543">
        <v>0.01601846</v>
      </c>
      <c r="CD5" s="540">
        <f t="shared" si="9"/>
        <v>0.999551904</v>
      </c>
      <c r="CF5" s="533"/>
      <c r="CG5" s="542">
        <v>2</v>
      </c>
      <c r="CH5" s="540" t="s">
        <v>723</v>
      </c>
      <c r="CI5" s="540">
        <v>0.01</v>
      </c>
      <c r="CJ5" s="540">
        <f t="shared" si="10"/>
        <v>0.01</v>
      </c>
      <c r="CM5" s="542">
        <v>2</v>
      </c>
      <c r="CN5" s="540" t="s">
        <v>724</v>
      </c>
      <c r="CO5" s="540">
        <v>1</v>
      </c>
      <c r="CP5" s="540">
        <f t="shared" si="11"/>
        <v>0.01</v>
      </c>
      <c r="CS5" s="542">
        <v>2</v>
      </c>
      <c r="CT5" s="540" t="s">
        <v>725</v>
      </c>
      <c r="CU5" s="543">
        <v>0.01666667</v>
      </c>
      <c r="CV5" s="540">
        <f t="shared" si="12"/>
        <v>0.01666667</v>
      </c>
      <c r="CY5" s="542">
        <v>2</v>
      </c>
      <c r="CZ5" s="540" t="s">
        <v>842</v>
      </c>
      <c r="DA5" s="543">
        <v>0.000135623</v>
      </c>
      <c r="DB5" s="540">
        <f>+DA5*$DC$3</f>
        <v>0.000135623</v>
      </c>
      <c r="DE5" s="542">
        <v>2</v>
      </c>
      <c r="DF5" s="540" t="s">
        <v>726</v>
      </c>
      <c r="DG5" s="543">
        <v>0.004133789</v>
      </c>
      <c r="DH5" s="540">
        <f>+DG5*$DI$3</f>
        <v>0.004133789</v>
      </c>
      <c r="DK5" s="542">
        <v>2</v>
      </c>
      <c r="DL5" s="540" t="s">
        <v>843</v>
      </c>
      <c r="DM5" s="543">
        <v>7.534611E-05</v>
      </c>
      <c r="DN5" s="540">
        <f>+DM5*$DO$3</f>
        <v>7.534611E-05</v>
      </c>
      <c r="DQ5" s="542">
        <v>2</v>
      </c>
      <c r="DR5" s="540" t="s">
        <v>727</v>
      </c>
      <c r="DS5" s="543">
        <v>0.5555556</v>
      </c>
      <c r="DT5" s="540">
        <f>+DS5*$DU$3</f>
        <v>0.5555556</v>
      </c>
      <c r="DW5" s="542">
        <v>2</v>
      </c>
      <c r="DX5" s="540" t="s">
        <v>728</v>
      </c>
      <c r="DY5" s="543">
        <v>1</v>
      </c>
      <c r="DZ5" s="540">
        <f>+DY5*$EA$3</f>
        <v>1</v>
      </c>
    </row>
    <row r="6" spans="1:130" ht="15" customHeight="1" thickBot="1">
      <c r="A6" s="547"/>
      <c r="B6" s="527" t="s">
        <v>729</v>
      </c>
      <c r="C6" s="528"/>
      <c r="D6" s="528"/>
      <c r="E6" s="548"/>
      <c r="F6" s="531"/>
      <c r="G6" s="527" t="s">
        <v>730</v>
      </c>
      <c r="H6" s="528"/>
      <c r="I6" s="528"/>
      <c r="J6" s="548"/>
      <c r="K6" s="531"/>
      <c r="L6" s="527" t="s">
        <v>731</v>
      </c>
      <c r="M6" s="528"/>
      <c r="N6" s="528"/>
      <c r="O6" s="548"/>
      <c r="P6" s="531"/>
      <c r="Q6" s="527" t="s">
        <v>732</v>
      </c>
      <c r="R6" s="528"/>
      <c r="S6" s="528"/>
      <c r="T6" s="548"/>
      <c r="U6" s="532"/>
      <c r="V6" s="525"/>
      <c r="Y6" s="542">
        <v>3</v>
      </c>
      <c r="Z6" s="540" t="s">
        <v>733</v>
      </c>
      <c r="AA6" s="540">
        <v>1</v>
      </c>
      <c r="AB6" s="540">
        <f t="shared" si="0"/>
        <v>5.7</v>
      </c>
      <c r="AE6" s="542">
        <v>3</v>
      </c>
      <c r="AF6" s="540" t="s">
        <v>844</v>
      </c>
      <c r="AG6" s="540">
        <v>1</v>
      </c>
      <c r="AH6" s="540">
        <f t="shared" si="1"/>
        <v>5.614583543880216</v>
      </c>
      <c r="AK6" s="542">
        <v>3</v>
      </c>
      <c r="AL6" s="540" t="s">
        <v>734</v>
      </c>
      <c r="AM6" s="540">
        <v>0.3786675</v>
      </c>
      <c r="AN6" s="540">
        <f t="shared" si="2"/>
        <v>0.3786675</v>
      </c>
      <c r="AQ6" s="542">
        <v>3</v>
      </c>
      <c r="AR6" s="540" t="s">
        <v>845</v>
      </c>
      <c r="AS6" s="540">
        <v>3600</v>
      </c>
      <c r="AT6" s="540">
        <f t="shared" si="3"/>
        <v>17304.17782102732</v>
      </c>
      <c r="AW6" s="542">
        <v>3</v>
      </c>
      <c r="AX6" s="540" t="s">
        <v>735</v>
      </c>
      <c r="AY6" s="540">
        <v>51.71508</v>
      </c>
      <c r="AZ6" s="540">
        <f t="shared" si="4"/>
        <v>760.211676</v>
      </c>
      <c r="BC6" s="542">
        <v>3</v>
      </c>
      <c r="BD6" s="540" t="s">
        <v>736</v>
      </c>
      <c r="BE6" s="543">
        <v>0.2120393</v>
      </c>
      <c r="BF6" s="540">
        <f t="shared" si="5"/>
        <v>381.67073999999997</v>
      </c>
      <c r="BI6" s="542">
        <v>3</v>
      </c>
      <c r="BJ6" s="540" t="s">
        <v>846</v>
      </c>
      <c r="BK6" s="543">
        <v>778.1693</v>
      </c>
      <c r="BL6" s="540">
        <f t="shared" si="6"/>
        <v>10622010.945</v>
      </c>
      <c r="BO6" s="542">
        <v>3</v>
      </c>
      <c r="BP6" s="540" t="s">
        <v>737</v>
      </c>
      <c r="BQ6" s="543">
        <v>0.001</v>
      </c>
      <c r="BR6" s="540">
        <f t="shared" si="7"/>
        <v>0.045</v>
      </c>
      <c r="BU6" s="542">
        <v>3</v>
      </c>
      <c r="BV6" s="540" t="s">
        <v>847</v>
      </c>
      <c r="BW6" s="543">
        <v>0.1111111</v>
      </c>
      <c r="BX6" s="540">
        <f t="shared" si="8"/>
        <v>7175.939560212453</v>
      </c>
      <c r="CA6" s="542">
        <v>3</v>
      </c>
      <c r="CB6" s="540" t="s">
        <v>738</v>
      </c>
      <c r="CC6" s="543">
        <v>16.01846</v>
      </c>
      <c r="CD6" s="540">
        <f t="shared" si="9"/>
        <v>999.551904</v>
      </c>
      <c r="CF6" s="533"/>
      <c r="CG6" s="542">
        <v>3</v>
      </c>
      <c r="CH6" s="540" t="s">
        <v>739</v>
      </c>
      <c r="CI6" s="540">
        <v>0.001</v>
      </c>
      <c r="CJ6" s="540">
        <f t="shared" si="10"/>
        <v>0.001</v>
      </c>
      <c r="CM6" s="542">
        <v>3</v>
      </c>
      <c r="CN6" s="540" t="s">
        <v>848</v>
      </c>
      <c r="CO6" s="540">
        <v>0.001076391</v>
      </c>
      <c r="CP6" s="540">
        <f t="shared" si="11"/>
        <v>1.076391E-05</v>
      </c>
      <c r="CS6" s="542">
        <v>3</v>
      </c>
      <c r="CT6" s="540" t="s">
        <v>740</v>
      </c>
      <c r="CU6" s="540">
        <v>1</v>
      </c>
      <c r="CV6" s="540">
        <f t="shared" si="12"/>
        <v>1</v>
      </c>
      <c r="CY6" s="542">
        <v>3</v>
      </c>
      <c r="CZ6" s="540" t="s">
        <v>849</v>
      </c>
      <c r="DA6" s="543">
        <v>0.0005678264</v>
      </c>
      <c r="DB6" s="540">
        <f>+DA6*$DC$3</f>
        <v>0.0005678264</v>
      </c>
      <c r="DE6" s="542">
        <v>3</v>
      </c>
      <c r="DF6" s="540" t="s">
        <v>741</v>
      </c>
      <c r="DG6" s="543">
        <v>0.01730735</v>
      </c>
      <c r="DH6" s="540">
        <f>+DG6*$DI$3</f>
        <v>0.01730735</v>
      </c>
      <c r="DK6" s="542">
        <v>3</v>
      </c>
      <c r="DL6" s="540" t="s">
        <v>850</v>
      </c>
      <c r="DM6" s="543">
        <v>0.0003154591</v>
      </c>
      <c r="DN6" s="540">
        <f>+DM6*$DO$3</f>
        <v>0.0003154591</v>
      </c>
      <c r="DQ6" s="542">
        <v>3</v>
      </c>
      <c r="DR6" s="540" t="s">
        <v>742</v>
      </c>
      <c r="DS6" s="543">
        <v>2.326</v>
      </c>
      <c r="DT6" s="540">
        <f>+DS6*$DU$3</f>
        <v>2.326</v>
      </c>
      <c r="DW6" s="542">
        <v>3</v>
      </c>
      <c r="DX6" s="540" t="s">
        <v>743</v>
      </c>
      <c r="DY6" s="543">
        <v>4.1868</v>
      </c>
      <c r="DZ6" s="540">
        <f>+DY6*$EA$3</f>
        <v>4.1868</v>
      </c>
    </row>
    <row r="7" spans="1:130" ht="15" customHeight="1" thickBot="1">
      <c r="A7" s="549"/>
      <c r="B7" s="535"/>
      <c r="C7" s="535"/>
      <c r="D7" s="536">
        <v>2</v>
      </c>
      <c r="E7" s="550">
        <v>1</v>
      </c>
      <c r="F7" s="538"/>
      <c r="G7" s="535"/>
      <c r="H7" s="535"/>
      <c r="I7" s="536">
        <v>2</v>
      </c>
      <c r="J7" s="550">
        <v>13650</v>
      </c>
      <c r="K7" s="538"/>
      <c r="L7" s="535"/>
      <c r="M7" s="535"/>
      <c r="N7" s="536">
        <v>1</v>
      </c>
      <c r="O7" s="550">
        <v>1</v>
      </c>
      <c r="P7" s="538"/>
      <c r="Q7" s="535"/>
      <c r="R7" s="535"/>
      <c r="S7" s="536">
        <v>1</v>
      </c>
      <c r="T7" s="550">
        <v>1</v>
      </c>
      <c r="U7" s="532"/>
      <c r="V7" s="525"/>
      <c r="Y7" s="542">
        <v>4</v>
      </c>
      <c r="Z7" s="540" t="s">
        <v>744</v>
      </c>
      <c r="AA7" s="540">
        <v>12</v>
      </c>
      <c r="AB7" s="540">
        <f t="shared" si="0"/>
        <v>68.4</v>
      </c>
      <c r="AE7" s="542">
        <v>4</v>
      </c>
      <c r="AF7" s="540" t="s">
        <v>745</v>
      </c>
      <c r="AG7" s="540">
        <v>6.228833</v>
      </c>
      <c r="AH7" s="540">
        <f t="shared" si="1"/>
        <v>34.97230325937804</v>
      </c>
      <c r="AK7" s="542">
        <v>4</v>
      </c>
      <c r="AL7" s="540" t="s">
        <v>746</v>
      </c>
      <c r="AM7" s="540">
        <v>9.088018</v>
      </c>
      <c r="AN7" s="540">
        <f t="shared" si="2"/>
        <v>9.088018</v>
      </c>
      <c r="AQ7" s="542">
        <v>4</v>
      </c>
      <c r="AR7" s="540" t="s">
        <v>747</v>
      </c>
      <c r="AS7" s="540">
        <v>641.1874</v>
      </c>
      <c r="AT7" s="540">
        <f t="shared" si="3"/>
        <v>3082.005773945048</v>
      </c>
      <c r="AW7" s="542">
        <v>4</v>
      </c>
      <c r="AX7" s="540" t="s">
        <v>851</v>
      </c>
      <c r="AY7" s="540">
        <v>2.308966</v>
      </c>
      <c r="AZ7" s="540">
        <f t="shared" si="4"/>
        <v>33.941800199999996</v>
      </c>
      <c r="BC7" s="542">
        <v>4</v>
      </c>
      <c r="BD7" s="540" t="s">
        <v>748</v>
      </c>
      <c r="BE7" s="540">
        <v>42.39055</v>
      </c>
      <c r="BF7" s="540">
        <f t="shared" si="5"/>
        <v>76302.98999999999</v>
      </c>
      <c r="BI7" s="542">
        <v>4</v>
      </c>
      <c r="BJ7" s="540" t="s">
        <v>749</v>
      </c>
      <c r="BK7" s="543">
        <v>0.0002930711</v>
      </c>
      <c r="BL7" s="540">
        <f t="shared" si="6"/>
        <v>4.000420515</v>
      </c>
      <c r="BO7" s="542">
        <v>4</v>
      </c>
      <c r="BP7" s="540" t="s">
        <v>750</v>
      </c>
      <c r="BQ7" s="543">
        <v>2.2046</v>
      </c>
      <c r="BR7" s="540">
        <f t="shared" si="7"/>
        <v>99.20700000000001</v>
      </c>
      <c r="BU7" s="542">
        <v>4</v>
      </c>
      <c r="BV7" s="540" t="s">
        <v>852</v>
      </c>
      <c r="BW7" s="543">
        <v>3.587007E-08</v>
      </c>
      <c r="BX7" s="540">
        <f t="shared" si="8"/>
        <v>0.0023166133207266413</v>
      </c>
      <c r="CA7" s="542">
        <v>4</v>
      </c>
      <c r="CB7" s="540" t="s">
        <v>751</v>
      </c>
      <c r="CC7" s="543">
        <v>60.6364508</v>
      </c>
      <c r="CD7" s="540">
        <f t="shared" si="9"/>
        <v>3783.7145299199997</v>
      </c>
      <c r="CF7" s="533"/>
      <c r="CG7" s="542">
        <v>4</v>
      </c>
      <c r="CH7" s="540" t="s">
        <v>752</v>
      </c>
      <c r="CI7" s="540">
        <v>2.419088</v>
      </c>
      <c r="CJ7" s="540">
        <f t="shared" si="10"/>
        <v>2.419088</v>
      </c>
      <c r="CM7" s="542">
        <v>4</v>
      </c>
      <c r="CN7" s="540" t="s">
        <v>853</v>
      </c>
      <c r="CO7" s="540">
        <v>3.875008</v>
      </c>
      <c r="CP7" s="540">
        <f t="shared" si="11"/>
        <v>0.03875008</v>
      </c>
      <c r="CS7" s="542">
        <v>4</v>
      </c>
      <c r="CT7" s="540" t="s">
        <v>753</v>
      </c>
      <c r="CU7" s="540">
        <v>24</v>
      </c>
      <c r="CV7" s="540">
        <f t="shared" si="12"/>
        <v>24</v>
      </c>
      <c r="CY7" s="542">
        <v>4</v>
      </c>
      <c r="CZ7" s="540" t="s">
        <v>854</v>
      </c>
      <c r="DA7" s="540">
        <v>4.882428</v>
      </c>
      <c r="DB7" s="540">
        <f>+DA7*$DC$3</f>
        <v>4.882428</v>
      </c>
      <c r="DE7" s="542">
        <v>4</v>
      </c>
      <c r="DF7" s="540" t="s">
        <v>754</v>
      </c>
      <c r="DG7" s="540">
        <v>1.488164</v>
      </c>
      <c r="DH7" s="540">
        <f>+DG7*$DI$3</f>
        <v>1.488164</v>
      </c>
      <c r="DK7" s="542">
        <v>4</v>
      </c>
      <c r="DL7" s="540" t="s">
        <v>855</v>
      </c>
      <c r="DM7" s="540">
        <v>2.71246</v>
      </c>
      <c r="DN7" s="540">
        <f>+DM7*$DO$3</f>
        <v>2.71246</v>
      </c>
      <c r="DQ7" s="542">
        <v>4</v>
      </c>
      <c r="DR7" s="540" t="s">
        <v>755</v>
      </c>
      <c r="DS7" s="540">
        <v>555.5556</v>
      </c>
      <c r="DT7" s="540">
        <f>+DS7*$DU$3</f>
        <v>555.5556</v>
      </c>
      <c r="DW7" s="542">
        <v>4</v>
      </c>
      <c r="DX7" s="540" t="s">
        <v>756</v>
      </c>
      <c r="DY7" s="540">
        <v>1000</v>
      </c>
      <c r="DZ7" s="540">
        <f>+DY7*$EA$3</f>
        <v>1000</v>
      </c>
    </row>
    <row r="8" spans="1:130" ht="15" customHeight="1">
      <c r="A8" s="549"/>
      <c r="B8" s="535"/>
      <c r="C8" s="535"/>
      <c r="D8" s="536">
        <v>5</v>
      </c>
      <c r="E8" s="541">
        <f>VLOOKUP(D8,AE4:AH14,4,FALSE)</f>
        <v>41.99999887708329</v>
      </c>
      <c r="F8" s="538"/>
      <c r="G8" s="535"/>
      <c r="H8" s="535"/>
      <c r="I8" s="536">
        <v>4</v>
      </c>
      <c r="J8" s="541">
        <f>VLOOKUP(I8,BI4:BL13,4,FALSE)</f>
        <v>4.000420515</v>
      </c>
      <c r="K8" s="538"/>
      <c r="L8" s="535"/>
      <c r="M8" s="535"/>
      <c r="N8" s="536">
        <v>5</v>
      </c>
      <c r="O8" s="541">
        <f>VLOOKUP(N8,CM4:CP10,4,FALSE)</f>
        <v>1.0000000000000002E-06</v>
      </c>
      <c r="P8" s="538"/>
      <c r="Q8" s="535"/>
      <c r="R8" s="535"/>
      <c r="S8" s="536">
        <v>5</v>
      </c>
      <c r="T8" s="541">
        <f>VLOOKUP(S8,DQ4:DT8,4,FALSE)</f>
        <v>2326</v>
      </c>
      <c r="U8" s="532"/>
      <c r="V8" s="525"/>
      <c r="Y8" s="542">
        <v>5</v>
      </c>
      <c r="Z8" s="540" t="s">
        <v>757</v>
      </c>
      <c r="AA8" s="543">
        <v>0.0003048</v>
      </c>
      <c r="AB8" s="540">
        <f t="shared" si="0"/>
        <v>0.0017373599999999999</v>
      </c>
      <c r="AE8" s="542">
        <v>5</v>
      </c>
      <c r="AF8" s="540" t="s">
        <v>758</v>
      </c>
      <c r="AG8" s="543">
        <v>7.480519</v>
      </c>
      <c r="AH8" s="540">
        <f t="shared" si="1"/>
        <v>41.99999887708329</v>
      </c>
      <c r="AK8" s="542">
        <v>5</v>
      </c>
      <c r="AL8" s="540" t="s">
        <v>759</v>
      </c>
      <c r="AM8" s="543">
        <v>1</v>
      </c>
      <c r="AN8" s="540">
        <f t="shared" si="2"/>
        <v>1</v>
      </c>
      <c r="AQ8" s="542">
        <v>5</v>
      </c>
      <c r="AR8" s="540" t="s">
        <v>760</v>
      </c>
      <c r="AS8" s="543">
        <v>15388.5</v>
      </c>
      <c r="AT8" s="540">
        <f t="shared" si="3"/>
        <v>73968.1501107997</v>
      </c>
      <c r="AW8" s="542">
        <v>5</v>
      </c>
      <c r="AX8" s="540" t="s">
        <v>856</v>
      </c>
      <c r="AY8" s="543">
        <v>27.70759</v>
      </c>
      <c r="AZ8" s="540">
        <f t="shared" si="4"/>
        <v>407.30157299999996</v>
      </c>
      <c r="BC8" s="542">
        <v>5</v>
      </c>
      <c r="BD8" s="540" t="s">
        <v>761</v>
      </c>
      <c r="BE8" s="540">
        <v>2544.433</v>
      </c>
      <c r="BF8" s="540">
        <f t="shared" si="5"/>
        <v>4579979.4</v>
      </c>
      <c r="BI8" s="542">
        <v>5</v>
      </c>
      <c r="BJ8" s="540" t="s">
        <v>762</v>
      </c>
      <c r="BK8" s="540">
        <v>252.1644</v>
      </c>
      <c r="BL8" s="540">
        <f t="shared" si="6"/>
        <v>3442044.06</v>
      </c>
      <c r="BO8" s="542">
        <v>5</v>
      </c>
      <c r="BP8" s="540" t="s">
        <v>763</v>
      </c>
      <c r="BQ8" s="540">
        <v>35.274</v>
      </c>
      <c r="BR8" s="540">
        <f t="shared" si="7"/>
        <v>1587.33</v>
      </c>
      <c r="BU8" s="542">
        <v>5</v>
      </c>
      <c r="BV8" s="540" t="s">
        <v>857</v>
      </c>
      <c r="BW8" s="540">
        <v>92903.04</v>
      </c>
      <c r="BX8" s="540">
        <f t="shared" si="8"/>
        <v>5999999999.999999</v>
      </c>
      <c r="CA8" s="542">
        <v>5</v>
      </c>
      <c r="CB8" s="540" t="s">
        <v>858</v>
      </c>
      <c r="CC8" s="540">
        <v>16.01846</v>
      </c>
      <c r="CD8" s="540">
        <f t="shared" si="9"/>
        <v>999.551904</v>
      </c>
      <c r="CF8" s="533"/>
      <c r="CG8" s="542">
        <v>5</v>
      </c>
      <c r="CH8" s="540" t="s">
        <v>764</v>
      </c>
      <c r="CI8" s="543">
        <v>0.000671969</v>
      </c>
      <c r="CJ8" s="540">
        <f t="shared" si="10"/>
        <v>0.000671969</v>
      </c>
      <c r="CM8" s="542">
        <v>5</v>
      </c>
      <c r="CN8" s="540" t="s">
        <v>859</v>
      </c>
      <c r="CO8" s="543">
        <v>0.0001</v>
      </c>
      <c r="CP8" s="540">
        <f t="shared" si="11"/>
        <v>1.0000000000000002E-06</v>
      </c>
      <c r="CS8" s="542">
        <v>5</v>
      </c>
      <c r="CT8" s="540" t="s">
        <v>765</v>
      </c>
      <c r="CU8" s="543">
        <v>0.0001259979</v>
      </c>
      <c r="CV8" s="540">
        <f t="shared" si="12"/>
        <v>0.0001259979</v>
      </c>
      <c r="CY8" s="542">
        <v>5</v>
      </c>
      <c r="CZ8" s="540" t="s">
        <v>860</v>
      </c>
      <c r="DA8" s="543">
        <v>5.678264</v>
      </c>
      <c r="DB8" s="540">
        <f>+DA8*$DC$3</f>
        <v>5.678264</v>
      </c>
      <c r="DE8" s="542">
        <v>5</v>
      </c>
      <c r="DF8" s="540" t="s">
        <v>766</v>
      </c>
      <c r="DG8" s="543">
        <v>1.730735</v>
      </c>
      <c r="DH8" s="540">
        <f>+DG8*$DI$3</f>
        <v>1.730735</v>
      </c>
      <c r="DK8" s="542">
        <v>5</v>
      </c>
      <c r="DL8" s="540" t="s">
        <v>861</v>
      </c>
      <c r="DM8" s="543">
        <v>3.154591</v>
      </c>
      <c r="DN8" s="540">
        <f>+DM8*$DO$3</f>
        <v>3.154591</v>
      </c>
      <c r="DQ8" s="542">
        <v>5</v>
      </c>
      <c r="DR8" s="540" t="s">
        <v>767</v>
      </c>
      <c r="DS8" s="543">
        <v>2326</v>
      </c>
      <c r="DT8" s="540">
        <f>+DS8*$DU$3</f>
        <v>2326</v>
      </c>
      <c r="DW8" s="542">
        <v>5</v>
      </c>
      <c r="DX8" s="540" t="s">
        <v>768</v>
      </c>
      <c r="DY8" s="543">
        <v>4186.8</v>
      </c>
      <c r="DZ8" s="540">
        <f>+DY8*$EA$3</f>
        <v>4186.8</v>
      </c>
    </row>
    <row r="9" spans="5:129" ht="15" customHeight="1">
      <c r="E9" s="545"/>
      <c r="F9" s="523"/>
      <c r="J9" s="545"/>
      <c r="K9" s="523"/>
      <c r="O9" s="545"/>
      <c r="P9" s="523"/>
      <c r="T9" s="545"/>
      <c r="U9" s="546"/>
      <c r="Y9" s="542">
        <v>6</v>
      </c>
      <c r="Z9" s="540" t="s">
        <v>769</v>
      </c>
      <c r="AA9" s="543">
        <v>0.3048</v>
      </c>
      <c r="AB9" s="540">
        <f t="shared" si="0"/>
        <v>1.7373600000000002</v>
      </c>
      <c r="AE9" s="542">
        <v>6</v>
      </c>
      <c r="AF9" s="540" t="s">
        <v>770</v>
      </c>
      <c r="AG9" s="540">
        <v>957.5065</v>
      </c>
      <c r="AH9" s="540">
        <f t="shared" si="1"/>
        <v>5376.000238058342</v>
      </c>
      <c r="AK9" s="542">
        <v>6</v>
      </c>
      <c r="AL9" s="540" t="s">
        <v>771</v>
      </c>
      <c r="AM9" s="540">
        <v>24</v>
      </c>
      <c r="AN9" s="540">
        <f t="shared" si="2"/>
        <v>24</v>
      </c>
      <c r="AQ9" s="542">
        <v>6</v>
      </c>
      <c r="AR9" s="540" t="s">
        <v>772</v>
      </c>
      <c r="AS9" s="540">
        <v>448.8312</v>
      </c>
      <c r="AT9" s="540">
        <f t="shared" si="3"/>
        <v>2157.404137895855</v>
      </c>
      <c r="AW9" s="542">
        <v>6</v>
      </c>
      <c r="AX9" s="540" t="s">
        <v>773</v>
      </c>
      <c r="AY9" s="540">
        <v>51.71508</v>
      </c>
      <c r="AZ9" s="540">
        <f t="shared" si="4"/>
        <v>760.211676</v>
      </c>
      <c r="BC9" s="542">
        <v>6</v>
      </c>
      <c r="BD9" s="540" t="s">
        <v>774</v>
      </c>
      <c r="BE9" s="540">
        <v>0.7456999</v>
      </c>
      <c r="BF9" s="540">
        <f t="shared" si="5"/>
        <v>1342.25982</v>
      </c>
      <c r="BI9" s="542">
        <v>6</v>
      </c>
      <c r="BJ9" s="540" t="s">
        <v>775</v>
      </c>
      <c r="BK9" s="540">
        <v>0.2521644</v>
      </c>
      <c r="BL9" s="540">
        <f t="shared" si="6"/>
        <v>3442.04406</v>
      </c>
      <c r="BO9" s="542">
        <v>6</v>
      </c>
      <c r="BP9" s="540" t="s">
        <v>776</v>
      </c>
      <c r="BQ9" s="540">
        <v>1</v>
      </c>
      <c r="BR9" s="540">
        <f t="shared" si="7"/>
        <v>45</v>
      </c>
      <c r="BU9" s="542">
        <v>6</v>
      </c>
      <c r="BV9" s="540" t="s">
        <v>862</v>
      </c>
      <c r="BW9" s="540">
        <v>929.0304</v>
      </c>
      <c r="BX9" s="540">
        <f t="shared" si="8"/>
        <v>59999999.99999999</v>
      </c>
      <c r="CA9" s="542">
        <v>6</v>
      </c>
      <c r="CB9" s="540" t="s">
        <v>863</v>
      </c>
      <c r="CC9" s="543">
        <v>0.0005787037</v>
      </c>
      <c r="CD9" s="540">
        <f t="shared" si="9"/>
        <v>0.03611111088</v>
      </c>
      <c r="CF9" s="533"/>
      <c r="CG9" s="542">
        <v>6</v>
      </c>
      <c r="CH9" s="540" t="s">
        <v>864</v>
      </c>
      <c r="CI9" s="543">
        <v>2.088544E-05</v>
      </c>
      <c r="CJ9" s="540">
        <f t="shared" si="10"/>
        <v>2.088544E-05</v>
      </c>
      <c r="CM9" s="542">
        <v>6</v>
      </c>
      <c r="CN9" s="540" t="s">
        <v>865</v>
      </c>
      <c r="CO9" s="543">
        <v>0.36</v>
      </c>
      <c r="CP9" s="540">
        <f t="shared" si="11"/>
        <v>0.0036</v>
      </c>
      <c r="CS9" s="542">
        <v>6</v>
      </c>
      <c r="CT9" s="540" t="s">
        <v>777</v>
      </c>
      <c r="CU9" s="543">
        <v>0.007559873</v>
      </c>
      <c r="CV9" s="540">
        <f t="shared" si="12"/>
        <v>0.007559873</v>
      </c>
      <c r="CY9" s="542"/>
      <c r="CZ9" s="540"/>
      <c r="DA9" s="543"/>
      <c r="DE9" s="542"/>
      <c r="DF9" s="540"/>
      <c r="DG9" s="543"/>
      <c r="DK9" s="542"/>
      <c r="DL9" s="540"/>
      <c r="DM9" s="543"/>
      <c r="DQ9" s="542"/>
      <c r="DR9" s="540"/>
      <c r="DS9" s="543"/>
      <c r="DW9" s="542"/>
      <c r="DX9" s="540"/>
      <c r="DY9" s="543"/>
    </row>
    <row r="10" spans="1:129" ht="15" customHeight="1" thickBot="1">
      <c r="A10" s="547"/>
      <c r="B10" s="527" t="s">
        <v>778</v>
      </c>
      <c r="C10" s="528"/>
      <c r="D10" s="528"/>
      <c r="E10" s="548"/>
      <c r="F10" s="531"/>
      <c r="G10" s="527" t="s">
        <v>779</v>
      </c>
      <c r="H10" s="528"/>
      <c r="I10" s="528"/>
      <c r="J10" s="548"/>
      <c r="K10" s="531"/>
      <c r="L10" s="527" t="s">
        <v>780</v>
      </c>
      <c r="M10" s="528"/>
      <c r="N10" s="528"/>
      <c r="O10" s="548"/>
      <c r="P10" s="531"/>
      <c r="Q10" s="527" t="s">
        <v>781</v>
      </c>
      <c r="R10" s="528"/>
      <c r="S10" s="528"/>
      <c r="T10" s="548"/>
      <c r="U10" s="532"/>
      <c r="V10" s="525"/>
      <c r="Y10" s="542">
        <v>7</v>
      </c>
      <c r="Z10" s="540" t="s">
        <v>782</v>
      </c>
      <c r="AA10" s="543">
        <v>30.48</v>
      </c>
      <c r="AB10" s="540">
        <f t="shared" si="0"/>
        <v>173.73600000000002</v>
      </c>
      <c r="AE10" s="542">
        <v>7</v>
      </c>
      <c r="AF10" s="540" t="s">
        <v>866</v>
      </c>
      <c r="AG10" s="540">
        <v>1728</v>
      </c>
      <c r="AH10" s="540">
        <f t="shared" si="1"/>
        <v>9702.000363825013</v>
      </c>
      <c r="AK10" s="542">
        <v>7</v>
      </c>
      <c r="AL10" s="540" t="s">
        <v>783</v>
      </c>
      <c r="AM10" s="540">
        <v>453.5924</v>
      </c>
      <c r="AN10" s="540">
        <f t="shared" si="2"/>
        <v>453.5924</v>
      </c>
      <c r="AQ10" s="542">
        <v>7</v>
      </c>
      <c r="AR10" s="540" t="s">
        <v>784</v>
      </c>
      <c r="AS10" s="540">
        <v>646316.9</v>
      </c>
      <c r="AT10" s="540">
        <f t="shared" si="3"/>
        <v>3106661.8239819813</v>
      </c>
      <c r="AW10" s="542">
        <v>7</v>
      </c>
      <c r="AX10" s="540" t="s">
        <v>785</v>
      </c>
      <c r="AY10" s="543">
        <v>0.06804596</v>
      </c>
      <c r="AZ10" s="540">
        <f t="shared" si="4"/>
        <v>1.000275612</v>
      </c>
      <c r="BC10" s="542">
        <v>7</v>
      </c>
      <c r="BD10" s="540" t="s">
        <v>786</v>
      </c>
      <c r="BE10" s="543">
        <v>178.23</v>
      </c>
      <c r="BF10" s="540">
        <f t="shared" si="5"/>
        <v>320814</v>
      </c>
      <c r="BI10" s="542">
        <v>7</v>
      </c>
      <c r="BJ10" s="540" t="s">
        <v>787</v>
      </c>
      <c r="BK10" s="543">
        <v>1055.056</v>
      </c>
      <c r="BL10" s="540">
        <f t="shared" si="6"/>
        <v>14401514.4</v>
      </c>
      <c r="BO10" s="542">
        <v>7</v>
      </c>
      <c r="BP10" s="540" t="s">
        <v>788</v>
      </c>
      <c r="BQ10" s="543">
        <v>1000</v>
      </c>
      <c r="BR10" s="540">
        <f t="shared" si="7"/>
        <v>45000</v>
      </c>
      <c r="BU10" s="542">
        <v>7</v>
      </c>
      <c r="BV10" s="540" t="s">
        <v>867</v>
      </c>
      <c r="BW10" s="543">
        <v>0.09290304</v>
      </c>
      <c r="BX10" s="540">
        <f t="shared" si="8"/>
        <v>6000</v>
      </c>
      <c r="CA10" s="542">
        <v>7</v>
      </c>
      <c r="CB10" s="540" t="s">
        <v>868</v>
      </c>
      <c r="CC10" s="543">
        <v>1</v>
      </c>
      <c r="CD10" s="540">
        <f t="shared" si="9"/>
        <v>62.4</v>
      </c>
      <c r="CF10" s="533"/>
      <c r="CG10" s="542">
        <v>7</v>
      </c>
      <c r="CH10" s="540" t="s">
        <v>869</v>
      </c>
      <c r="CI10" s="543">
        <v>1.450378E-07</v>
      </c>
      <c r="CJ10" s="540">
        <f t="shared" si="10"/>
        <v>1.450378E-07</v>
      </c>
      <c r="CM10" s="542">
        <v>7</v>
      </c>
      <c r="CN10" s="540" t="s">
        <v>870</v>
      </c>
      <c r="CO10" s="543">
        <v>1</v>
      </c>
      <c r="CP10" s="540">
        <f t="shared" si="11"/>
        <v>0.01</v>
      </c>
      <c r="CS10" s="542">
        <v>7</v>
      </c>
      <c r="CT10" s="540" t="s">
        <v>789</v>
      </c>
      <c r="CU10" s="543">
        <v>0.4535924</v>
      </c>
      <c r="CV10" s="540">
        <f t="shared" si="12"/>
        <v>0.4535924</v>
      </c>
      <c r="CY10" s="542"/>
      <c r="CZ10" s="540"/>
      <c r="DA10" s="543"/>
      <c r="DE10" s="542"/>
      <c r="DF10" s="540"/>
      <c r="DG10" s="543"/>
      <c r="DK10" s="542"/>
      <c r="DL10" s="540"/>
      <c r="DM10" s="543"/>
      <c r="DQ10" s="542"/>
      <c r="DR10" s="540"/>
      <c r="DS10" s="543"/>
      <c r="DW10" s="542"/>
      <c r="DX10" s="540"/>
      <c r="DY10" s="543"/>
    </row>
    <row r="11" spans="1:129" ht="15" customHeight="1" thickBot="1">
      <c r="A11" s="549"/>
      <c r="B11" s="535"/>
      <c r="C11" s="535"/>
      <c r="D11" s="536">
        <v>5</v>
      </c>
      <c r="E11" s="550">
        <v>1</v>
      </c>
      <c r="F11" s="538"/>
      <c r="G11" s="535"/>
      <c r="H11" s="535"/>
      <c r="I11" s="536">
        <v>6</v>
      </c>
      <c r="J11" s="550">
        <v>45</v>
      </c>
      <c r="K11" s="538"/>
      <c r="L11" s="535"/>
      <c r="M11" s="535"/>
      <c r="N11" s="536">
        <v>3</v>
      </c>
      <c r="O11" s="550">
        <v>1</v>
      </c>
      <c r="P11" s="538"/>
      <c r="Q11" s="535"/>
      <c r="R11" s="535"/>
      <c r="S11" s="536">
        <v>1</v>
      </c>
      <c r="T11" s="550">
        <v>1</v>
      </c>
      <c r="U11" s="532"/>
      <c r="V11" s="525"/>
      <c r="Y11" s="542">
        <v>8</v>
      </c>
      <c r="Z11" s="540" t="s">
        <v>132</v>
      </c>
      <c r="AA11" s="543">
        <v>304.8</v>
      </c>
      <c r="AB11" s="540">
        <f t="shared" si="0"/>
        <v>1737.3600000000001</v>
      </c>
      <c r="AE11" s="542">
        <v>8</v>
      </c>
      <c r="AF11" s="540" t="s">
        <v>871</v>
      </c>
      <c r="AG11" s="543">
        <v>0.02831685</v>
      </c>
      <c r="AH11" s="540">
        <f t="shared" si="1"/>
        <v>0.1589873200245245</v>
      </c>
      <c r="AK11" s="542">
        <v>8</v>
      </c>
      <c r="AL11" s="540" t="s">
        <v>790</v>
      </c>
      <c r="AM11" s="543">
        <v>10886.22</v>
      </c>
      <c r="AN11" s="540">
        <f t="shared" si="2"/>
        <v>10886.22</v>
      </c>
      <c r="AQ11" s="542">
        <v>8</v>
      </c>
      <c r="AR11" s="540" t="s">
        <v>872</v>
      </c>
      <c r="AS11" s="543">
        <v>0.02831685</v>
      </c>
      <c r="AT11" s="540">
        <f t="shared" si="3"/>
        <v>0.13611105770315485</v>
      </c>
      <c r="AW11" s="542">
        <v>8</v>
      </c>
      <c r="AX11" s="540" t="s">
        <v>791</v>
      </c>
      <c r="AY11" s="543">
        <v>0.06894757</v>
      </c>
      <c r="AZ11" s="540">
        <f t="shared" si="4"/>
        <v>1.013529279</v>
      </c>
      <c r="BC11" s="542">
        <v>8</v>
      </c>
      <c r="BD11" s="540" t="s">
        <v>792</v>
      </c>
      <c r="BE11" s="540">
        <v>10693.8</v>
      </c>
      <c r="BF11" s="540">
        <f t="shared" si="5"/>
        <v>19248840</v>
      </c>
      <c r="BI11" s="542">
        <v>8</v>
      </c>
      <c r="BJ11" s="540" t="s">
        <v>793</v>
      </c>
      <c r="BK11" s="540">
        <v>1055.056</v>
      </c>
      <c r="BL11" s="540">
        <f t="shared" si="6"/>
        <v>14401514.4</v>
      </c>
      <c r="BO11" s="542">
        <v>8</v>
      </c>
      <c r="BP11" s="540" t="s">
        <v>794</v>
      </c>
      <c r="BQ11" s="540">
        <v>1000000</v>
      </c>
      <c r="BR11" s="540">
        <f t="shared" si="7"/>
        <v>45000000</v>
      </c>
      <c r="BU11" s="542">
        <v>8</v>
      </c>
      <c r="BV11" s="540" t="s">
        <v>873</v>
      </c>
      <c r="BW11" s="543">
        <v>9.290304E-08</v>
      </c>
      <c r="BX11" s="540">
        <f t="shared" si="8"/>
        <v>0.005999999999999999</v>
      </c>
      <c r="CA11" s="542">
        <v>8</v>
      </c>
      <c r="CB11" s="540" t="s">
        <v>795</v>
      </c>
      <c r="CC11" s="543">
        <v>0.1336806</v>
      </c>
      <c r="CD11" s="540">
        <f t="shared" si="9"/>
        <v>8.34166944</v>
      </c>
      <c r="CF11" s="533"/>
      <c r="CG11" s="542">
        <v>8</v>
      </c>
      <c r="CH11" s="540" t="s">
        <v>796</v>
      </c>
      <c r="CI11" s="540">
        <v>1</v>
      </c>
      <c r="CJ11" s="540">
        <f t="shared" si="10"/>
        <v>1</v>
      </c>
      <c r="CM11" s="542"/>
      <c r="CN11" s="540"/>
      <c r="CO11" s="540"/>
      <c r="CS11" s="542">
        <v>8</v>
      </c>
      <c r="CT11" s="540" t="s">
        <v>797</v>
      </c>
      <c r="CU11" s="540">
        <v>10.8862176</v>
      </c>
      <c r="CV11" s="540">
        <f t="shared" si="12"/>
        <v>10.8862176</v>
      </c>
      <c r="CY11" s="542"/>
      <c r="CZ11" s="540"/>
      <c r="DA11" s="540"/>
      <c r="DE11" s="542"/>
      <c r="DF11" s="540"/>
      <c r="DG11" s="540"/>
      <c r="DK11" s="542"/>
      <c r="DL11" s="540"/>
      <c r="DM11" s="540"/>
      <c r="DQ11" s="542"/>
      <c r="DR11" s="540"/>
      <c r="DS11" s="540"/>
      <c r="DW11" s="542"/>
      <c r="DX11" s="540"/>
      <c r="DY11" s="540"/>
    </row>
    <row r="12" spans="1:131" ht="15" customHeight="1">
      <c r="A12" s="549"/>
      <c r="B12" s="535"/>
      <c r="C12" s="535"/>
      <c r="D12" s="536">
        <v>3</v>
      </c>
      <c r="E12" s="541">
        <f>VLOOKUP(D12,AK4:AN11,4,FALSE)</f>
        <v>0.3786675</v>
      </c>
      <c r="F12" s="538"/>
      <c r="G12" s="535"/>
      <c r="H12" s="535"/>
      <c r="I12" s="536">
        <v>6</v>
      </c>
      <c r="J12" s="541">
        <f>VLOOKUP(I12,BO4:BR14,4,FALSE)</f>
        <v>45</v>
      </c>
      <c r="K12" s="538"/>
      <c r="L12" s="535"/>
      <c r="M12" s="535"/>
      <c r="N12" s="536">
        <v>6</v>
      </c>
      <c r="O12" s="541">
        <f>VLOOKUP(N12,CS4:CV14,4,FALSE)</f>
        <v>0.007559873</v>
      </c>
      <c r="P12" s="538"/>
      <c r="Q12" s="535"/>
      <c r="R12" s="535"/>
      <c r="S12" s="536">
        <v>5</v>
      </c>
      <c r="T12" s="541">
        <f>VLOOKUP(S12,DW4:DZ8,4,FALSE)</f>
        <v>4186.8</v>
      </c>
      <c r="U12" s="532"/>
      <c r="V12" s="525"/>
      <c r="Y12" s="542">
        <v>9</v>
      </c>
      <c r="Z12" s="540" t="s">
        <v>798</v>
      </c>
      <c r="AA12" s="543">
        <v>304800</v>
      </c>
      <c r="AB12" s="540">
        <f t="shared" si="0"/>
        <v>1737360</v>
      </c>
      <c r="AE12" s="542">
        <v>9</v>
      </c>
      <c r="AF12" s="540" t="s">
        <v>799</v>
      </c>
      <c r="AG12" s="540">
        <v>28.31685</v>
      </c>
      <c r="AH12" s="540">
        <f t="shared" si="1"/>
        <v>158.98732002452448</v>
      </c>
      <c r="AI12" s="542"/>
      <c r="AK12" s="542"/>
      <c r="AL12" s="540"/>
      <c r="AM12" s="540"/>
      <c r="AO12" s="542"/>
      <c r="AQ12" s="542">
        <v>9</v>
      </c>
      <c r="AR12" s="540" t="s">
        <v>874</v>
      </c>
      <c r="AS12" s="540">
        <v>1.699011</v>
      </c>
      <c r="AT12" s="540">
        <f t="shared" si="3"/>
        <v>8.166663462189291</v>
      </c>
      <c r="AU12" s="542"/>
      <c r="AW12" s="542">
        <v>9</v>
      </c>
      <c r="AX12" s="540" t="s">
        <v>800</v>
      </c>
      <c r="AY12" s="543">
        <v>68.94757</v>
      </c>
      <c r="AZ12" s="540">
        <f t="shared" si="4"/>
        <v>1013.529279</v>
      </c>
      <c r="BA12" s="542"/>
      <c r="BC12" s="542">
        <v>9</v>
      </c>
      <c r="BD12" s="540" t="s">
        <v>801</v>
      </c>
      <c r="BE12" s="543">
        <v>745.6999</v>
      </c>
      <c r="BF12" s="540">
        <f t="shared" si="5"/>
        <v>1342259.8199999998</v>
      </c>
      <c r="BG12" s="542"/>
      <c r="BI12" s="542">
        <v>9</v>
      </c>
      <c r="BJ12" s="540" t="s">
        <v>875</v>
      </c>
      <c r="BK12" s="543">
        <v>5.4039</v>
      </c>
      <c r="BL12" s="540">
        <f t="shared" si="6"/>
        <v>73763.235</v>
      </c>
      <c r="BM12" s="542"/>
      <c r="BO12" s="542">
        <v>9</v>
      </c>
      <c r="BP12" s="540" t="s">
        <v>802</v>
      </c>
      <c r="BQ12" s="543">
        <v>15432</v>
      </c>
      <c r="BR12" s="540">
        <f t="shared" si="7"/>
        <v>694440</v>
      </c>
      <c r="BS12" s="542"/>
      <c r="BU12" s="542">
        <v>9</v>
      </c>
      <c r="BV12" s="540" t="s">
        <v>803</v>
      </c>
      <c r="BW12" s="543">
        <v>9.290304E-06</v>
      </c>
      <c r="BX12" s="540">
        <f t="shared" si="8"/>
        <v>0.6</v>
      </c>
      <c r="BY12" s="542"/>
      <c r="CA12" s="542">
        <v>9</v>
      </c>
      <c r="CB12" s="540" t="s">
        <v>804</v>
      </c>
      <c r="CC12" s="543">
        <v>5.614584</v>
      </c>
      <c r="CD12" s="540">
        <f t="shared" si="9"/>
        <v>350.3500416</v>
      </c>
      <c r="CE12" s="542"/>
      <c r="CF12" s="533"/>
      <c r="CG12" s="542">
        <v>9</v>
      </c>
      <c r="CH12" s="540" t="s">
        <v>805</v>
      </c>
      <c r="CI12" s="540">
        <v>3.6</v>
      </c>
      <c r="CJ12" s="540">
        <f t="shared" si="10"/>
        <v>3.6</v>
      </c>
      <c r="CK12" s="542"/>
      <c r="CM12" s="542"/>
      <c r="CN12" s="540"/>
      <c r="CO12" s="540"/>
      <c r="CQ12" s="542"/>
      <c r="CS12" s="542">
        <v>9</v>
      </c>
      <c r="CT12" s="540" t="s">
        <v>806</v>
      </c>
      <c r="CU12" s="540">
        <f>24*0.0004464286</f>
        <v>0.0107142864</v>
      </c>
      <c r="CV12" s="540">
        <f t="shared" si="12"/>
        <v>0.0107142864</v>
      </c>
      <c r="CW12" s="542"/>
      <c r="CY12" s="542"/>
      <c r="CZ12" s="540"/>
      <c r="DA12" s="540"/>
      <c r="DC12" s="542"/>
      <c r="DE12" s="542"/>
      <c r="DF12" s="540"/>
      <c r="DG12" s="540"/>
      <c r="DI12" s="542"/>
      <c r="DK12" s="542"/>
      <c r="DL12" s="540"/>
      <c r="DM12" s="540"/>
      <c r="DO12" s="542"/>
      <c r="DQ12" s="542"/>
      <c r="DR12" s="540"/>
      <c r="DS12" s="540"/>
      <c r="DU12" s="542"/>
      <c r="DW12" s="542"/>
      <c r="DX12" s="540"/>
      <c r="DY12" s="540"/>
      <c r="EA12" s="542"/>
    </row>
    <row r="13" spans="5:129" ht="15" customHeight="1">
      <c r="E13" s="545"/>
      <c r="F13" s="523"/>
      <c r="J13" s="545"/>
      <c r="K13" s="523"/>
      <c r="O13" s="545"/>
      <c r="P13" s="523"/>
      <c r="T13" s="545"/>
      <c r="U13" s="546"/>
      <c r="AE13" s="542">
        <v>10</v>
      </c>
      <c r="AF13" s="540" t="s">
        <v>876</v>
      </c>
      <c r="AG13" s="540">
        <v>28316.85</v>
      </c>
      <c r="AH13" s="540">
        <f t="shared" si="1"/>
        <v>158987.3200245245</v>
      </c>
      <c r="AK13" s="542"/>
      <c r="AL13" s="540"/>
      <c r="AM13" s="540"/>
      <c r="AQ13" s="542">
        <v>10</v>
      </c>
      <c r="AR13" s="540" t="s">
        <v>877</v>
      </c>
      <c r="AS13" s="540">
        <v>101.9407</v>
      </c>
      <c r="AT13" s="540">
        <f t="shared" si="3"/>
        <v>489.99999999999994</v>
      </c>
      <c r="AW13" s="542">
        <v>10</v>
      </c>
      <c r="AX13" s="540" t="s">
        <v>878</v>
      </c>
      <c r="AY13" s="543">
        <v>0.07030696</v>
      </c>
      <c r="AZ13" s="540">
        <f t="shared" si="4"/>
        <v>1.033512312</v>
      </c>
      <c r="BC13" s="542">
        <v>10</v>
      </c>
      <c r="BD13" s="540" t="s">
        <v>807</v>
      </c>
      <c r="BE13" s="543">
        <v>745.7</v>
      </c>
      <c r="BF13" s="540">
        <f t="shared" si="5"/>
        <v>1342260</v>
      </c>
      <c r="BI13" s="542">
        <v>10</v>
      </c>
      <c r="BJ13" s="540" t="s">
        <v>808</v>
      </c>
      <c r="BK13" s="543">
        <v>10.412</v>
      </c>
      <c r="BL13" s="540">
        <f t="shared" si="6"/>
        <v>142123.80000000002</v>
      </c>
      <c r="BO13" s="542">
        <v>10</v>
      </c>
      <c r="BP13" s="540" t="s">
        <v>809</v>
      </c>
      <c r="BQ13" s="543">
        <v>5000</v>
      </c>
      <c r="BR13" s="540">
        <f t="shared" si="7"/>
        <v>225000</v>
      </c>
      <c r="BU13" s="542">
        <v>10</v>
      </c>
      <c r="BV13" s="540" t="s">
        <v>810</v>
      </c>
      <c r="BW13" s="543">
        <v>0.0009290304</v>
      </c>
      <c r="BX13" s="540">
        <f t="shared" si="8"/>
        <v>59.99999999999999</v>
      </c>
      <c r="CA13" s="542">
        <v>10</v>
      </c>
      <c r="CB13" s="540" t="s">
        <v>879</v>
      </c>
      <c r="CC13" s="543">
        <v>0.009259259</v>
      </c>
      <c r="CD13" s="540">
        <f t="shared" si="9"/>
        <v>0.5777777616</v>
      </c>
      <c r="CF13" s="533"/>
      <c r="CS13" s="542">
        <v>10</v>
      </c>
      <c r="CT13" s="540" t="s">
        <v>811</v>
      </c>
      <c r="CU13" s="540">
        <f>24*0.0005</f>
        <v>0.012</v>
      </c>
      <c r="CV13" s="540">
        <f t="shared" si="12"/>
        <v>0.012</v>
      </c>
      <c r="CY13" s="542"/>
      <c r="CZ13" s="540"/>
      <c r="DA13" s="540"/>
      <c r="DE13" s="542"/>
      <c r="DF13" s="540"/>
      <c r="DG13" s="540"/>
      <c r="DK13" s="542"/>
      <c r="DL13" s="540"/>
      <c r="DM13" s="540"/>
      <c r="DQ13" s="542"/>
      <c r="DR13" s="540"/>
      <c r="DS13" s="540"/>
      <c r="DW13" s="542"/>
      <c r="DX13" s="540"/>
      <c r="DY13" s="540"/>
    </row>
    <row r="14" spans="1:129" ht="15" customHeight="1" thickBot="1">
      <c r="A14" s="547"/>
      <c r="B14" s="527" t="s">
        <v>812</v>
      </c>
      <c r="C14" s="528"/>
      <c r="D14" s="528"/>
      <c r="E14" s="548"/>
      <c r="F14" s="531"/>
      <c r="G14" s="527" t="s">
        <v>813</v>
      </c>
      <c r="H14" s="528"/>
      <c r="I14" s="528"/>
      <c r="J14" s="548"/>
      <c r="K14" s="531"/>
      <c r="L14" s="527" t="s">
        <v>814</v>
      </c>
      <c r="M14" s="528"/>
      <c r="N14" s="528"/>
      <c r="O14" s="548"/>
      <c r="P14" s="551"/>
      <c r="Q14" s="552"/>
      <c r="R14" s="552"/>
      <c r="S14" s="552"/>
      <c r="T14" s="553"/>
      <c r="U14" s="532"/>
      <c r="V14" s="525"/>
      <c r="AE14" s="542">
        <v>11</v>
      </c>
      <c r="AF14" s="540" t="s">
        <v>815</v>
      </c>
      <c r="AG14" s="543">
        <v>28316.85</v>
      </c>
      <c r="AH14" s="540">
        <f t="shared" si="1"/>
        <v>158987.3200245245</v>
      </c>
      <c r="AK14" s="542"/>
      <c r="AL14" s="540"/>
      <c r="AM14" s="543"/>
      <c r="AQ14" s="542">
        <v>11</v>
      </c>
      <c r="AR14" s="540" t="s">
        <v>816</v>
      </c>
      <c r="AS14" s="543">
        <v>28.31685</v>
      </c>
      <c r="AT14" s="540">
        <f t="shared" si="3"/>
        <v>136.11105770315484</v>
      </c>
      <c r="AW14" s="542">
        <v>11</v>
      </c>
      <c r="AX14" s="540" t="s">
        <v>817</v>
      </c>
      <c r="AY14" s="543">
        <v>6.894757</v>
      </c>
      <c r="AZ14" s="540">
        <f t="shared" si="4"/>
        <v>101.3529279</v>
      </c>
      <c r="BC14" s="542">
        <v>11</v>
      </c>
      <c r="BD14" s="540" t="s">
        <v>880</v>
      </c>
      <c r="BE14" s="543">
        <v>550</v>
      </c>
      <c r="BF14" s="540">
        <f t="shared" si="5"/>
        <v>990000</v>
      </c>
      <c r="BI14" s="542"/>
      <c r="BJ14" s="540"/>
      <c r="BK14" s="543"/>
      <c r="BO14" s="542">
        <v>11</v>
      </c>
      <c r="BP14" s="540" t="s">
        <v>818</v>
      </c>
      <c r="BQ14" s="543">
        <v>0.0685218</v>
      </c>
      <c r="BR14" s="540">
        <f t="shared" si="7"/>
        <v>3.083481</v>
      </c>
      <c r="BU14" s="542">
        <v>11</v>
      </c>
      <c r="BV14" s="540" t="s">
        <v>819</v>
      </c>
      <c r="BW14" s="543">
        <v>2.295684E-05</v>
      </c>
      <c r="BX14" s="540">
        <f t="shared" si="8"/>
        <v>1.4826322152644305</v>
      </c>
      <c r="CA14" s="542">
        <v>11</v>
      </c>
      <c r="CB14" s="540" t="s">
        <v>820</v>
      </c>
      <c r="CC14" s="543">
        <v>2.138889</v>
      </c>
      <c r="CD14" s="540">
        <f t="shared" si="9"/>
        <v>133.46667359999998</v>
      </c>
      <c r="CF14" s="533"/>
      <c r="CG14" s="542"/>
      <c r="CH14" s="540"/>
      <c r="CI14" s="543"/>
      <c r="CM14" s="542"/>
      <c r="CN14" s="540"/>
      <c r="CO14" s="543"/>
      <c r="CS14" s="542">
        <v>11</v>
      </c>
      <c r="CT14" s="540" t="s">
        <v>821</v>
      </c>
      <c r="CU14" s="543">
        <f>24*0.0004535924</f>
        <v>0.0108862176</v>
      </c>
      <c r="CV14" s="540">
        <f t="shared" si="12"/>
        <v>0.0108862176</v>
      </c>
      <c r="CY14" s="542"/>
      <c r="CZ14" s="540"/>
      <c r="DA14" s="543"/>
      <c r="DE14" s="542"/>
      <c r="DF14" s="540"/>
      <c r="DG14" s="543"/>
      <c r="DK14" s="542"/>
      <c r="DL14" s="540"/>
      <c r="DM14" s="543"/>
      <c r="DQ14" s="542"/>
      <c r="DR14" s="540"/>
      <c r="DS14" s="543"/>
      <c r="DW14" s="542"/>
      <c r="DX14" s="540"/>
      <c r="DY14" s="543"/>
    </row>
    <row r="15" spans="1:129" ht="15" customHeight="1" thickBot="1">
      <c r="A15" s="549"/>
      <c r="B15" s="535"/>
      <c r="C15" s="535"/>
      <c r="D15" s="536">
        <v>10</v>
      </c>
      <c r="E15" s="550">
        <v>490</v>
      </c>
      <c r="F15" s="538"/>
      <c r="G15" s="535"/>
      <c r="H15" s="535"/>
      <c r="I15" s="536">
        <v>7</v>
      </c>
      <c r="J15" s="550">
        <v>62.4</v>
      </c>
      <c r="K15" s="538"/>
      <c r="L15" s="535"/>
      <c r="M15" s="535"/>
      <c r="N15" s="536">
        <v>1</v>
      </c>
      <c r="O15" s="550">
        <v>1</v>
      </c>
      <c r="P15" s="538"/>
      <c r="Q15" s="535"/>
      <c r="R15" s="535"/>
      <c r="S15" s="535"/>
      <c r="T15" s="554"/>
      <c r="U15" s="532"/>
      <c r="V15" s="525"/>
      <c r="AE15" s="542"/>
      <c r="AF15" s="540"/>
      <c r="AG15" s="543"/>
      <c r="AK15" s="542"/>
      <c r="AL15" s="540"/>
      <c r="AM15" s="543"/>
      <c r="AQ15" s="542">
        <v>12</v>
      </c>
      <c r="AR15" s="540" t="s">
        <v>822</v>
      </c>
      <c r="AS15" s="543">
        <v>1699.011</v>
      </c>
      <c r="AT15" s="540">
        <f t="shared" si="3"/>
        <v>8166.663462189291</v>
      </c>
      <c r="AW15" s="542">
        <v>12</v>
      </c>
      <c r="AX15" s="540" t="s">
        <v>823</v>
      </c>
      <c r="AY15" s="543">
        <v>6894.757</v>
      </c>
      <c r="AZ15" s="540">
        <f t="shared" si="4"/>
        <v>101352.9279</v>
      </c>
      <c r="BC15" s="542">
        <v>12</v>
      </c>
      <c r="BD15" s="540" t="s">
        <v>881</v>
      </c>
      <c r="BE15" s="543">
        <v>33000</v>
      </c>
      <c r="BF15" s="540">
        <f t="shared" si="5"/>
        <v>59400000</v>
      </c>
      <c r="BI15" s="542"/>
      <c r="BJ15" s="540"/>
      <c r="BK15" s="543"/>
      <c r="BO15" s="542"/>
      <c r="BP15" s="540"/>
      <c r="BQ15" s="543"/>
      <c r="BU15" s="542"/>
      <c r="BV15" s="540"/>
      <c r="BW15" s="543"/>
      <c r="CA15" s="542">
        <v>12</v>
      </c>
      <c r="CB15" s="540" t="s">
        <v>824</v>
      </c>
      <c r="CC15" s="543">
        <v>0.01601846</v>
      </c>
      <c r="CD15" s="540">
        <f t="shared" si="9"/>
        <v>0.999551904</v>
      </c>
      <c r="CF15" s="533"/>
      <c r="CG15" s="542"/>
      <c r="CH15" s="540"/>
      <c r="CI15" s="540"/>
      <c r="CM15" s="542"/>
      <c r="CN15" s="540"/>
      <c r="CO15" s="540"/>
      <c r="CS15" s="542"/>
      <c r="CT15" s="540"/>
      <c r="CU15" s="540"/>
      <c r="CY15" s="542"/>
      <c r="CZ15" s="540"/>
      <c r="DA15" s="540"/>
      <c r="DE15" s="542"/>
      <c r="DF15" s="540"/>
      <c r="DG15" s="540"/>
      <c r="DK15" s="542"/>
      <c r="DL15" s="540"/>
      <c r="DM15" s="540"/>
      <c r="DQ15" s="542"/>
      <c r="DR15" s="540"/>
      <c r="DS15" s="540"/>
      <c r="DW15" s="542"/>
      <c r="DX15" s="540"/>
      <c r="DY15" s="540"/>
    </row>
    <row r="16" spans="1:129" ht="15" customHeight="1">
      <c r="A16" s="549"/>
      <c r="B16" s="535"/>
      <c r="C16" s="535"/>
      <c r="D16" s="536">
        <v>2</v>
      </c>
      <c r="E16" s="541">
        <f>VLOOKUP(D16,AQ4:AT17,4,FALSE)</f>
        <v>288.4029636837887</v>
      </c>
      <c r="F16" s="538"/>
      <c r="G16" s="535"/>
      <c r="H16" s="535"/>
      <c r="I16" s="536">
        <v>12</v>
      </c>
      <c r="J16" s="541">
        <f>VLOOKUP(I16,CA4:CD15,4,FALSE)</f>
        <v>0.999551904</v>
      </c>
      <c r="K16" s="538"/>
      <c r="L16" s="535"/>
      <c r="M16" s="535"/>
      <c r="N16" s="536">
        <v>3</v>
      </c>
      <c r="O16" s="541">
        <f>VLOOKUP(N16,CY4:DB8,4,FALSE)</f>
        <v>0.0005678264</v>
      </c>
      <c r="P16" s="538"/>
      <c r="Q16" s="535"/>
      <c r="R16" s="535"/>
      <c r="S16" s="535"/>
      <c r="T16" s="555"/>
      <c r="U16" s="532"/>
      <c r="V16" s="525"/>
      <c r="Y16" s="524"/>
      <c r="AB16" s="524"/>
      <c r="AC16" s="524"/>
      <c r="AE16" s="542"/>
      <c r="AF16" s="540"/>
      <c r="AG16" s="543"/>
      <c r="AK16" s="542"/>
      <c r="AL16" s="540"/>
      <c r="AM16" s="543"/>
      <c r="AQ16" s="542">
        <v>13</v>
      </c>
      <c r="AR16" s="540" t="s">
        <v>825</v>
      </c>
      <c r="AS16" s="543">
        <v>101940.7</v>
      </c>
      <c r="AT16" s="540">
        <f t="shared" si="3"/>
        <v>489999.99999999994</v>
      </c>
      <c r="AW16" s="524"/>
      <c r="AZ16" s="524"/>
      <c r="BC16" s="524"/>
      <c r="BF16" s="524"/>
      <c r="BI16" s="524"/>
      <c r="BL16" s="524"/>
      <c r="BO16" s="524"/>
      <c r="BR16" s="524"/>
      <c r="BU16" s="524"/>
      <c r="BX16" s="524"/>
      <c r="CA16" s="524"/>
      <c r="CB16" s="540"/>
      <c r="CD16" s="524"/>
      <c r="CF16" s="533"/>
      <c r="CG16" s="542"/>
      <c r="CH16" s="540"/>
      <c r="CI16" s="540"/>
      <c r="CM16" s="542"/>
      <c r="CN16" s="540"/>
      <c r="CO16" s="540"/>
      <c r="CS16" s="542"/>
      <c r="CT16" s="540"/>
      <c r="CU16" s="540"/>
      <c r="CY16" s="542"/>
      <c r="CZ16" s="540"/>
      <c r="DA16" s="540"/>
      <c r="DE16" s="542"/>
      <c r="DF16" s="540"/>
      <c r="DG16" s="540"/>
      <c r="DK16" s="542"/>
      <c r="DL16" s="540"/>
      <c r="DM16" s="540"/>
      <c r="DQ16" s="542"/>
      <c r="DR16" s="540"/>
      <c r="DS16" s="540"/>
      <c r="DW16" s="542"/>
      <c r="DX16" s="540"/>
      <c r="DY16" s="540"/>
    </row>
    <row r="17" spans="5:129" ht="15" customHeight="1">
      <c r="E17" s="545"/>
      <c r="F17" s="523"/>
      <c r="J17" s="545"/>
      <c r="K17" s="523"/>
      <c r="O17" s="545"/>
      <c r="P17" s="523"/>
      <c r="T17" s="556"/>
      <c r="U17" s="546"/>
      <c r="Y17" s="524"/>
      <c r="AB17" s="524"/>
      <c r="AC17" s="524"/>
      <c r="AE17" s="542"/>
      <c r="AF17" s="540"/>
      <c r="AG17" s="540"/>
      <c r="AK17" s="542"/>
      <c r="AL17" s="540"/>
      <c r="AM17" s="540"/>
      <c r="AQ17" s="542">
        <v>14</v>
      </c>
      <c r="AR17" s="540" t="s">
        <v>826</v>
      </c>
      <c r="AS17" s="540">
        <v>2446576.8</v>
      </c>
      <c r="AT17" s="540">
        <f t="shared" si="3"/>
        <v>11759999.999999998</v>
      </c>
      <c r="AW17" s="542"/>
      <c r="BC17" s="542"/>
      <c r="BI17" s="542"/>
      <c r="BO17" s="542"/>
      <c r="BU17" s="542"/>
      <c r="CA17" s="542"/>
      <c r="CB17" s="540"/>
      <c r="CF17" s="533"/>
      <c r="CG17" s="542"/>
      <c r="CH17" s="540"/>
      <c r="CI17" s="540"/>
      <c r="CM17" s="542"/>
      <c r="CN17" s="540"/>
      <c r="CO17" s="540"/>
      <c r="CS17" s="542"/>
      <c r="CT17" s="540"/>
      <c r="CU17" s="540"/>
      <c r="CY17" s="542"/>
      <c r="CZ17" s="540"/>
      <c r="DA17" s="540"/>
      <c r="DE17" s="542"/>
      <c r="DF17" s="540"/>
      <c r="DG17" s="540"/>
      <c r="DK17" s="542"/>
      <c r="DL17" s="540"/>
      <c r="DM17" s="540"/>
      <c r="DQ17" s="542"/>
      <c r="DR17" s="540"/>
      <c r="DS17" s="540"/>
      <c r="DW17" s="542"/>
      <c r="DX17" s="540"/>
      <c r="DY17" s="540"/>
    </row>
    <row r="18" spans="1:129" ht="15" customHeight="1" thickBot="1">
      <c r="A18" s="547"/>
      <c r="B18" s="527" t="s">
        <v>692</v>
      </c>
      <c r="C18" s="528"/>
      <c r="D18" s="528"/>
      <c r="E18" s="548"/>
      <c r="F18" s="531"/>
      <c r="G18" s="527" t="s">
        <v>827</v>
      </c>
      <c r="H18" s="528"/>
      <c r="I18" s="528"/>
      <c r="J18" s="548"/>
      <c r="K18" s="531"/>
      <c r="L18" s="527" t="s">
        <v>828</v>
      </c>
      <c r="M18" s="528"/>
      <c r="N18" s="528"/>
      <c r="O18" s="548"/>
      <c r="P18" s="551"/>
      <c r="R18" s="552"/>
      <c r="S18" s="552"/>
      <c r="T18" s="553"/>
      <c r="U18" s="532"/>
      <c r="V18" s="525"/>
      <c r="Y18" s="524"/>
      <c r="AB18" s="524"/>
      <c r="AC18" s="524"/>
      <c r="AE18" s="542"/>
      <c r="AF18" s="540"/>
      <c r="AG18" s="543"/>
      <c r="AK18" s="542"/>
      <c r="AL18" s="540"/>
      <c r="AM18" s="543"/>
      <c r="AQ18" s="542"/>
      <c r="AR18" s="540"/>
      <c r="AS18" s="543"/>
      <c r="AW18" s="542"/>
      <c r="AX18" s="540"/>
      <c r="AY18" s="543"/>
      <c r="BC18" s="542"/>
      <c r="BD18" s="540"/>
      <c r="BE18" s="543"/>
      <c r="BI18" s="542"/>
      <c r="BJ18" s="540"/>
      <c r="BK18" s="543"/>
      <c r="BO18" s="542"/>
      <c r="BP18" s="540"/>
      <c r="BQ18" s="543"/>
      <c r="BU18" s="542"/>
      <c r="BV18" s="540"/>
      <c r="BW18" s="543"/>
      <c r="CA18" s="542"/>
      <c r="CB18" s="540"/>
      <c r="CC18" s="543"/>
      <c r="CG18" s="542"/>
      <c r="CH18" s="540"/>
      <c r="CI18" s="543"/>
      <c r="CM18" s="542"/>
      <c r="CN18" s="540"/>
      <c r="CO18" s="543"/>
      <c r="CS18" s="542"/>
      <c r="CT18" s="540"/>
      <c r="CU18" s="543"/>
      <c r="CY18" s="542"/>
      <c r="CZ18" s="540"/>
      <c r="DA18" s="543"/>
      <c r="DE18" s="542"/>
      <c r="DF18" s="540"/>
      <c r="DG18" s="543"/>
      <c r="DK18" s="542"/>
      <c r="DL18" s="540"/>
      <c r="DM18" s="543"/>
      <c r="DQ18" s="542"/>
      <c r="DR18" s="540"/>
      <c r="DS18" s="543"/>
      <c r="DW18" s="542"/>
      <c r="DX18" s="540"/>
      <c r="DY18" s="543"/>
    </row>
    <row r="19" spans="1:129" ht="15" customHeight="1" thickBot="1">
      <c r="A19" s="549"/>
      <c r="B19" s="535"/>
      <c r="C19" s="535"/>
      <c r="D19" s="536">
        <v>1</v>
      </c>
      <c r="E19" s="550">
        <v>14.7</v>
      </c>
      <c r="F19" s="538"/>
      <c r="G19" s="535"/>
      <c r="H19" s="535"/>
      <c r="I19" s="536">
        <v>7</v>
      </c>
      <c r="J19" s="550">
        <v>6000</v>
      </c>
      <c r="K19" s="538"/>
      <c r="L19" s="535"/>
      <c r="M19" s="535"/>
      <c r="N19" s="536">
        <v>1</v>
      </c>
      <c r="O19" s="550">
        <v>1</v>
      </c>
      <c r="P19" s="538"/>
      <c r="Q19" s="650" t="s">
        <v>829</v>
      </c>
      <c r="R19" s="651"/>
      <c r="S19" s="651"/>
      <c r="T19" s="651"/>
      <c r="U19" s="532"/>
      <c r="V19" s="525"/>
      <c r="Y19" s="524"/>
      <c r="AB19" s="524"/>
      <c r="AC19" s="524"/>
      <c r="AE19" s="524"/>
      <c r="AI19" s="524"/>
      <c r="AK19" s="524"/>
      <c r="AN19" s="524"/>
      <c r="AO19" s="524"/>
      <c r="AQ19" s="524"/>
      <c r="AT19" s="524"/>
      <c r="AU19" s="524"/>
      <c r="AW19" s="524"/>
      <c r="AZ19" s="524"/>
      <c r="BA19" s="524"/>
      <c r="BC19" s="524"/>
      <c r="BF19" s="524"/>
      <c r="BG19" s="524"/>
      <c r="BI19" s="524"/>
      <c r="BL19" s="524"/>
      <c r="BM19" s="524"/>
      <c r="BO19" s="542"/>
      <c r="BP19" s="540"/>
      <c r="BQ19" s="543"/>
      <c r="BU19" s="542"/>
      <c r="BV19" s="540"/>
      <c r="BW19" s="543"/>
      <c r="CA19" s="542"/>
      <c r="CB19" s="540"/>
      <c r="CC19" s="543"/>
      <c r="CG19" s="542"/>
      <c r="CH19" s="540"/>
      <c r="CI19" s="543"/>
      <c r="CM19" s="542"/>
      <c r="CN19" s="540"/>
      <c r="CO19" s="543"/>
      <c r="CS19" s="542"/>
      <c r="CT19" s="540"/>
      <c r="CU19" s="543"/>
      <c r="CY19" s="542"/>
      <c r="CZ19" s="540"/>
      <c r="DA19" s="543"/>
      <c r="DE19" s="542"/>
      <c r="DF19" s="540"/>
      <c r="DG19" s="543"/>
      <c r="DK19" s="542"/>
      <c r="DL19" s="540"/>
      <c r="DM19" s="543"/>
      <c r="DQ19" s="542"/>
      <c r="DR19" s="540"/>
      <c r="DS19" s="543"/>
      <c r="DW19" s="542"/>
      <c r="DX19" s="540"/>
      <c r="DY19" s="543"/>
    </row>
    <row r="20" spans="1:129" ht="15" customHeight="1">
      <c r="A20" s="549"/>
      <c r="B20" s="535"/>
      <c r="C20" s="535"/>
      <c r="D20" s="536">
        <v>10</v>
      </c>
      <c r="E20" s="541">
        <f>VLOOKUP(D20,AW4:AZ15,4,FALSE)</f>
        <v>1.033512312</v>
      </c>
      <c r="F20" s="538"/>
      <c r="G20" s="535"/>
      <c r="H20" s="535"/>
      <c r="I20" s="536">
        <v>1</v>
      </c>
      <c r="J20" s="541">
        <f>VLOOKUP(I20,BU4:BX14,4,FALSE)</f>
        <v>64583.46250025833</v>
      </c>
      <c r="K20" s="538"/>
      <c r="L20" s="535"/>
      <c r="M20" s="535"/>
      <c r="N20" s="536">
        <v>3</v>
      </c>
      <c r="O20" s="541">
        <f>VLOOKUP(N20,DE4:DH8,4,FALSE)</f>
        <v>0.01730735</v>
      </c>
      <c r="P20" s="538"/>
      <c r="Q20" s="557" t="s">
        <v>830</v>
      </c>
      <c r="T20" s="555"/>
      <c r="U20" s="532"/>
      <c r="V20" s="525"/>
      <c r="Y20" s="524"/>
      <c r="AB20" s="524"/>
      <c r="AC20" s="524"/>
      <c r="AE20" s="524"/>
      <c r="AI20" s="524"/>
      <c r="AK20" s="524"/>
      <c r="AN20" s="524"/>
      <c r="AO20" s="524"/>
      <c r="AQ20" s="524"/>
      <c r="AT20" s="524"/>
      <c r="AU20" s="524"/>
      <c r="AW20" s="524"/>
      <c r="AZ20" s="524"/>
      <c r="BA20" s="524"/>
      <c r="BC20" s="524"/>
      <c r="BF20" s="524"/>
      <c r="BG20" s="524"/>
      <c r="BI20" s="524"/>
      <c r="BL20" s="524"/>
      <c r="BM20" s="524"/>
      <c r="BO20" s="542"/>
      <c r="BP20" s="540"/>
      <c r="BQ20" s="543"/>
      <c r="BU20" s="542"/>
      <c r="BV20" s="540"/>
      <c r="BW20" s="543"/>
      <c r="CA20" s="542"/>
      <c r="CB20" s="540"/>
      <c r="CC20" s="543"/>
      <c r="CG20" s="542"/>
      <c r="CH20" s="540"/>
      <c r="CI20" s="543"/>
      <c r="CM20" s="542"/>
      <c r="CN20" s="540"/>
      <c r="CO20" s="543"/>
      <c r="CS20" s="542"/>
      <c r="CT20" s="540"/>
      <c r="CU20" s="543"/>
      <c r="CY20" s="542"/>
      <c r="CZ20" s="540"/>
      <c r="DA20" s="543"/>
      <c r="DE20" s="542"/>
      <c r="DF20" s="540"/>
      <c r="DG20" s="543"/>
      <c r="DK20" s="542"/>
      <c r="DL20" s="540"/>
      <c r="DM20" s="543"/>
      <c r="DQ20" s="542"/>
      <c r="DR20" s="540"/>
      <c r="DS20" s="543"/>
      <c r="DW20" s="542"/>
      <c r="DX20" s="540"/>
      <c r="DY20" s="543"/>
    </row>
    <row r="21" spans="6:129" ht="15" customHeight="1">
      <c r="F21" s="523"/>
      <c r="K21" s="523"/>
      <c r="P21" s="523"/>
      <c r="Q21" s="558" t="s">
        <v>831</v>
      </c>
      <c r="U21" s="546"/>
      <c r="Y21" s="524"/>
      <c r="AB21" s="524"/>
      <c r="AC21" s="524"/>
      <c r="AE21" s="542"/>
      <c r="AF21" s="540"/>
      <c r="AG21" s="543"/>
      <c r="AK21" s="542"/>
      <c r="AL21" s="540"/>
      <c r="AM21" s="543"/>
      <c r="AQ21" s="542"/>
      <c r="AR21" s="540"/>
      <c r="AS21" s="543"/>
      <c r="AW21" s="542"/>
      <c r="AX21" s="540"/>
      <c r="AY21" s="543"/>
      <c r="BC21" s="542"/>
      <c r="BD21" s="540"/>
      <c r="BE21" s="543"/>
      <c r="BI21" s="542"/>
      <c r="BJ21" s="540"/>
      <c r="BK21" s="543"/>
      <c r="BO21" s="542"/>
      <c r="BP21" s="540"/>
      <c r="BQ21" s="543"/>
      <c r="BU21" s="542"/>
      <c r="BV21" s="540"/>
      <c r="BW21" s="543"/>
      <c r="CA21" s="542"/>
      <c r="CB21" s="540"/>
      <c r="CC21" s="543"/>
      <c r="CG21" s="542"/>
      <c r="CH21" s="540"/>
      <c r="CI21" s="543"/>
      <c r="CM21" s="542"/>
      <c r="CN21" s="540"/>
      <c r="CO21" s="543"/>
      <c r="CS21" s="542"/>
      <c r="CT21" s="540"/>
      <c r="CU21" s="543"/>
      <c r="CY21" s="542"/>
      <c r="CZ21" s="540"/>
      <c r="DA21" s="543"/>
      <c r="DE21" s="542"/>
      <c r="DF21" s="540"/>
      <c r="DG21" s="543"/>
      <c r="DK21" s="542"/>
      <c r="DL21" s="540"/>
      <c r="DM21" s="543"/>
      <c r="DQ21" s="542"/>
      <c r="DR21" s="540"/>
      <c r="DS21" s="543"/>
      <c r="DW21" s="542"/>
      <c r="DX21" s="540"/>
      <c r="DY21" s="543"/>
    </row>
    <row r="22" ht="15" customHeight="1">
      <c r="Q22" s="558" t="s">
        <v>832</v>
      </c>
    </row>
    <row r="23" ht="15" customHeight="1">
      <c r="B23" s="559" t="s">
        <v>833</v>
      </c>
    </row>
  </sheetData>
  <sheetProtection sheet="1" objects="1" scenarios="1" selectLockedCells="1"/>
  <mergeCells count="1">
    <mergeCell ref="Q19:T19"/>
  </mergeCells>
  <hyperlinks>
    <hyperlink ref="Q19:T19" r:id="rId1" display="PROCESS ENGINEERING TOOLKIT"/>
  </hyperlinks>
  <printOptions/>
  <pageMargins left="0.17" right="0.25" top="1.34" bottom="1" header="0.5" footer="0.5"/>
  <pageSetup horizontalDpi="600" verticalDpi="600" orientation="landscape" scale="110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45"/>
  </sheetPr>
  <dimension ref="A1:O30"/>
  <sheetViews>
    <sheetView showGridLines="0" showRowColHeaders="0" zoomScale="74" zoomScaleNormal="74" zoomScalePageLayoutView="0" workbookViewId="0" topLeftCell="A1">
      <selection activeCell="P27" sqref="P27"/>
    </sheetView>
  </sheetViews>
  <sheetFormatPr defaultColWidth="9.77734375" defaultRowHeight="15"/>
  <cols>
    <col min="1" max="1" width="2.77734375" style="0" customWidth="1"/>
    <col min="2" max="2" width="4.88671875" style="0" customWidth="1"/>
    <col min="3" max="3" width="10.77734375" style="0" customWidth="1"/>
    <col min="4" max="4" width="7.21484375" style="0" customWidth="1"/>
    <col min="5" max="5" width="8.3359375" style="0" customWidth="1"/>
    <col min="6" max="9" width="7.77734375" style="0" customWidth="1"/>
    <col min="10" max="10" width="2.77734375" style="0" customWidth="1"/>
    <col min="11" max="11" width="7.99609375" style="0" customWidth="1"/>
    <col min="12" max="12" width="8.21484375" style="0" customWidth="1"/>
    <col min="13" max="13" width="2.77734375" style="0" customWidth="1"/>
    <col min="15" max="15" width="8.77734375" style="0" customWidth="1"/>
  </cols>
  <sheetData>
    <row r="1" spans="1:15" ht="23.25">
      <c r="A1" s="96"/>
      <c r="B1" s="200" t="s">
        <v>121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2"/>
      <c r="N1" s="96"/>
      <c r="O1" s="203"/>
    </row>
    <row r="2" spans="1:15" ht="15.75">
      <c r="A2" s="96"/>
      <c r="B2" s="221" t="s">
        <v>122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19"/>
      <c r="N2" s="96"/>
      <c r="O2" s="203"/>
    </row>
    <row r="3" spans="1:15" ht="15.75">
      <c r="A3" s="96"/>
      <c r="B3" s="221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19"/>
      <c r="N3" s="96"/>
      <c r="O3" s="203"/>
    </row>
    <row r="4" spans="1:15" ht="13.5" customHeight="1">
      <c r="A4" s="96"/>
      <c r="B4" s="204"/>
      <c r="C4" s="196"/>
      <c r="D4" s="196"/>
      <c r="E4" s="196"/>
      <c r="F4" s="422"/>
      <c r="G4" s="423"/>
      <c r="H4" s="424" t="s">
        <v>123</v>
      </c>
      <c r="I4" s="425"/>
      <c r="J4" s="196"/>
      <c r="K4" s="216" t="s">
        <v>124</v>
      </c>
      <c r="L4" s="217" t="s">
        <v>124</v>
      </c>
      <c r="M4" s="199"/>
      <c r="N4" s="96"/>
      <c r="O4" s="203"/>
    </row>
    <row r="5" spans="1:15" ht="15.75">
      <c r="A5" s="96"/>
      <c r="B5" s="204"/>
      <c r="C5" s="196"/>
      <c r="D5" s="213" t="s">
        <v>125</v>
      </c>
      <c r="E5" s="196"/>
      <c r="F5" s="211" t="s">
        <v>126</v>
      </c>
      <c r="G5" s="210"/>
      <c r="H5" s="406" t="s">
        <v>126</v>
      </c>
      <c r="I5" s="419"/>
      <c r="J5" s="421"/>
      <c r="K5" s="214" t="s">
        <v>127</v>
      </c>
      <c r="L5" s="218" t="s">
        <v>128</v>
      </c>
      <c r="M5" s="199"/>
      <c r="N5" s="96"/>
      <c r="O5" s="203"/>
    </row>
    <row r="6" spans="1:15" ht="15">
      <c r="A6" s="96"/>
      <c r="B6" s="204"/>
      <c r="C6" s="197" t="s">
        <v>129</v>
      </c>
      <c r="D6" s="263"/>
      <c r="E6" s="196" t="s">
        <v>130</v>
      </c>
      <c r="F6" s="212">
        <f>IF(D7="","",D6-(1.29904*(D8/100)/D7))</f>
      </c>
      <c r="G6" s="198" t="s">
        <v>130</v>
      </c>
      <c r="H6" s="407">
        <f>IF(D7="","",D6-(0.0068*D8/D7))</f>
      </c>
      <c r="I6" s="420" t="s">
        <v>130</v>
      </c>
      <c r="J6" s="198"/>
      <c r="K6" s="261">
        <v>0</v>
      </c>
      <c r="L6" s="262">
        <v>0.034</v>
      </c>
      <c r="M6" s="199"/>
      <c r="N6" s="96"/>
      <c r="O6" s="203"/>
    </row>
    <row r="7" spans="1:15" ht="15">
      <c r="A7" s="96"/>
      <c r="B7" s="204"/>
      <c r="C7" s="197" t="s">
        <v>131</v>
      </c>
      <c r="D7" s="188"/>
      <c r="E7" s="196"/>
      <c r="F7" s="212">
        <f>IF(D7="","",F6*25.4)</f>
      </c>
      <c r="G7" s="198" t="s">
        <v>132</v>
      </c>
      <c r="H7" s="407">
        <f>IF(D7="","",H6*25.4)</f>
      </c>
      <c r="I7" s="420" t="s">
        <v>132</v>
      </c>
      <c r="J7" s="198"/>
      <c r="K7" s="260">
        <v>0</v>
      </c>
      <c r="L7" s="262">
        <v>0.047</v>
      </c>
      <c r="M7" s="199"/>
      <c r="N7" s="96"/>
      <c r="O7" s="203"/>
    </row>
    <row r="8" spans="1:15" ht="15">
      <c r="A8" s="96"/>
      <c r="B8" s="204"/>
      <c r="C8" s="197" t="s">
        <v>133</v>
      </c>
      <c r="D8" s="387">
        <v>75</v>
      </c>
      <c r="E8" s="196" t="s">
        <v>134</v>
      </c>
      <c r="F8" s="439"/>
      <c r="G8" s="196"/>
      <c r="H8" s="411"/>
      <c r="I8" s="392"/>
      <c r="J8" s="198"/>
      <c r="K8" s="215">
        <v>0</v>
      </c>
      <c r="L8" s="262">
        <v>0.06</v>
      </c>
      <c r="M8" s="199"/>
      <c r="N8" s="96"/>
      <c r="O8" s="203"/>
    </row>
    <row r="9" spans="1:15" ht="15">
      <c r="A9" s="96"/>
      <c r="B9" s="413"/>
      <c r="C9" s="386"/>
      <c r="D9" s="386"/>
      <c r="E9" s="386"/>
      <c r="F9" s="414"/>
      <c r="G9" s="386"/>
      <c r="H9" s="415"/>
      <c r="I9" s="417"/>
      <c r="J9" s="386"/>
      <c r="K9" s="215">
        <v>1</v>
      </c>
      <c r="L9" s="262">
        <v>0.073</v>
      </c>
      <c r="M9" s="199"/>
      <c r="N9" s="96"/>
      <c r="O9" s="203"/>
    </row>
    <row r="10" spans="1:15" ht="15">
      <c r="A10" s="96"/>
      <c r="B10" s="393"/>
      <c r="C10" s="394"/>
      <c r="D10" s="402"/>
      <c r="E10" s="395"/>
      <c r="F10" s="427" t="str">
        <f>IF(D6&gt;1.5,"","Drill")</f>
        <v>Drill</v>
      </c>
      <c r="G10" s="428" t="str">
        <f>IF(D6&gt;1.5,"","Inches")</f>
        <v>Inches</v>
      </c>
      <c r="H10" s="429" t="str">
        <f>IF(D6&gt;1.5,"","Drill")</f>
        <v>Drill</v>
      </c>
      <c r="I10" s="430" t="str">
        <f>IF(D6&gt;1.5,"","Inches")</f>
        <v>Inches</v>
      </c>
      <c r="J10" s="196"/>
      <c r="K10" s="215">
        <v>2</v>
      </c>
      <c r="L10" s="262">
        <v>0.086</v>
      </c>
      <c r="M10" s="199"/>
      <c r="N10" s="96"/>
      <c r="O10" s="203"/>
    </row>
    <row r="11" spans="1:15" ht="15">
      <c r="A11" s="96"/>
      <c r="B11" s="661" t="str">
        <f>IF(D6&gt;1.5,"","Closest Inch Drill Bits")</f>
        <v>Closest Inch Drill Bits</v>
      </c>
      <c r="C11" s="668"/>
      <c r="D11" s="668"/>
      <c r="E11" s="663"/>
      <c r="F11" s="396">
        <f>IF(D7="","",IF(D6&gt;1.5,"",INDEX(Data!G101:G318,MATCH(F6,Data!F101:F318,1),1)))</f>
      </c>
      <c r="G11" s="403">
        <f>IF(D7="","",IF(D6&gt;1.5,"",INDEX(Data!F101:F318,MATCH(F6,Data!F101:F318,1),1)))</f>
      </c>
      <c r="H11" s="408">
        <f>IF(D7="","",IF(D6&gt;1.5,"",INDEX(Data!G101:G318,MATCH(H6,Data!F101:F318,1),1)))</f>
      </c>
      <c r="I11" s="398">
        <f>IF(D7="","",IF(D6&gt;1.5,"",INDEX(Data!F101:F318,MATCH(H6,Data!F101:F318,1),1)))</f>
      </c>
      <c r="J11" s="50"/>
      <c r="K11" s="215">
        <v>3</v>
      </c>
      <c r="L11" s="262">
        <v>0.099</v>
      </c>
      <c r="M11" s="199"/>
      <c r="N11" s="96"/>
      <c r="O11" s="203"/>
    </row>
    <row r="12" spans="1:15" ht="15">
      <c r="A12" s="96"/>
      <c r="B12" s="664"/>
      <c r="C12" s="668"/>
      <c r="D12" s="668"/>
      <c r="E12" s="663"/>
      <c r="F12" s="399">
        <f>IF(D7="","",IF(D6&gt;1.5,"",INDEX(Data!J101:J318,MATCH(F6,Data!I101:I318,-1),1)))</f>
      </c>
      <c r="G12" s="404">
        <f>IF(D7="","",IF(D6&gt;1.5,"",INDEX(Data!I101:I318,MATCH(F6,Data!I101:I318,-1),1)))</f>
      </c>
      <c r="H12" s="409">
        <f>IF(D7="","",IF(D6&gt;1.5,"",INDEX(Data!J101:J318,MATCH(H6,Data!I101:I318,-1),1)))</f>
      </c>
      <c r="I12" s="400">
        <f>IF(D7="","",IF(D6&gt;1.5,"",INDEX(Data!I101:I318,MATCH(H6,Data!I101:I318,-1),1)))</f>
      </c>
      <c r="J12" s="416"/>
      <c r="K12" s="215">
        <v>4</v>
      </c>
      <c r="L12" s="262">
        <v>0.112</v>
      </c>
      <c r="M12" s="199"/>
      <c r="N12" s="96"/>
      <c r="O12" s="203"/>
    </row>
    <row r="13" spans="1:15" ht="15">
      <c r="A13" s="96"/>
      <c r="B13" s="661" t="str">
        <f>IF(D6&gt;1.5,"","Closest Millimeter Drill Bits")</f>
        <v>Closest Millimeter Drill Bits</v>
      </c>
      <c r="C13" s="668"/>
      <c r="D13" s="668"/>
      <c r="E13" s="663"/>
      <c r="F13" s="397">
        <f>IF(D7="","",IF(D6&gt;1.5,"",INDEX(Data!P2:P215,MATCH(F6,Data!O2:O215,1),1)))</f>
      </c>
      <c r="G13" s="403">
        <f>IF(D7="","",IF(D6&gt;1.5,"",INDEX(Data!O2:O215,MATCH(F6,Data!O2:O215,1),1)))</f>
      </c>
      <c r="H13" s="410">
        <f>IF(D7="","",IF(D6&gt;1.5,"",INDEX(Data!P2:P215,MATCH(H6,Data!O2:O215,1),1)))</f>
      </c>
      <c r="I13" s="398">
        <f>IF(D7="","",IF(D6&gt;1.5,"",INDEX(Data!O2:O215,MATCH(H6,Data!O2:O215,1),1)))</f>
      </c>
      <c r="J13" s="50"/>
      <c r="K13" s="215">
        <v>5</v>
      </c>
      <c r="L13" s="262">
        <v>0.125</v>
      </c>
      <c r="M13" s="199"/>
      <c r="N13" s="96"/>
      <c r="O13" s="203"/>
    </row>
    <row r="14" spans="1:15" ht="15">
      <c r="A14" s="96"/>
      <c r="B14" s="664"/>
      <c r="C14" s="662"/>
      <c r="D14" s="662"/>
      <c r="E14" s="663"/>
      <c r="F14" s="397">
        <f>IF(D7="","",IF(D6&gt;1.5,"",INDEX(Data!R2:R215,MATCH(F6,Data!Q2:Q215,-1),1)))</f>
      </c>
      <c r="G14" s="403">
        <f>IF(D7="","",IF(D6&gt;1.5,"",INDEX(Data!Q2:Q215,MATCH(F6,Data!Q2:Q215,-1),1)))</f>
      </c>
      <c r="H14" s="410">
        <f>IF(D7="","",IF(D6&gt;1.5,"",INDEX(Data!R2:R215,MATCH(H6,Data!Q2:Q215,-1),1)))</f>
      </c>
      <c r="I14" s="398">
        <f>IF(D7="","",IF(D6&gt;1.5,"",INDEX(Data!Q2:Q215,MATCH(H6,Data!Q2:Q215,-1),1)))</f>
      </c>
      <c r="J14" s="50"/>
      <c r="K14" s="215">
        <v>6</v>
      </c>
      <c r="L14" s="262">
        <v>0.138</v>
      </c>
      <c r="M14" s="199"/>
      <c r="N14" s="96"/>
      <c r="O14" s="203"/>
    </row>
    <row r="15" spans="1:15" ht="15" customHeight="1">
      <c r="A15" s="96"/>
      <c r="B15" s="432"/>
      <c r="C15" s="433"/>
      <c r="D15" s="433"/>
      <c r="E15" s="433"/>
      <c r="F15" s="433"/>
      <c r="G15" s="433"/>
      <c r="H15" s="433"/>
      <c r="I15" s="434"/>
      <c r="J15" s="417"/>
      <c r="K15" s="215">
        <v>7</v>
      </c>
      <c r="L15" s="262">
        <v>0.151</v>
      </c>
      <c r="M15" s="199"/>
      <c r="N15" s="96"/>
      <c r="O15" s="203"/>
    </row>
    <row r="16" spans="1:15" ht="15">
      <c r="A16" s="96"/>
      <c r="B16" s="63"/>
      <c r="C16" s="18"/>
      <c r="D16" s="18"/>
      <c r="E16" s="18"/>
      <c r="F16" s="431"/>
      <c r="G16" s="18"/>
      <c r="H16" s="405" t="s">
        <v>123</v>
      </c>
      <c r="I16" s="418"/>
      <c r="J16" s="392"/>
      <c r="K16" s="215">
        <v>8</v>
      </c>
      <c r="L16" s="262">
        <v>0.164</v>
      </c>
      <c r="M16" s="199"/>
      <c r="N16" s="205"/>
      <c r="O16" s="96"/>
    </row>
    <row r="17" spans="1:15" ht="15.75">
      <c r="A17" s="96"/>
      <c r="B17" s="63"/>
      <c r="C17" s="196"/>
      <c r="D17" s="213" t="s">
        <v>135</v>
      </c>
      <c r="E17" s="196"/>
      <c r="F17" s="211" t="s">
        <v>126</v>
      </c>
      <c r="G17" s="210"/>
      <c r="H17" s="406" t="s">
        <v>126</v>
      </c>
      <c r="I17" s="419"/>
      <c r="J17" s="198"/>
      <c r="K17" s="215">
        <v>9</v>
      </c>
      <c r="L17" s="262">
        <v>0.177</v>
      </c>
      <c r="M17" s="199"/>
      <c r="N17" s="96"/>
      <c r="O17" s="96"/>
    </row>
    <row r="18" spans="1:15" ht="15">
      <c r="A18" s="96"/>
      <c r="B18" s="204"/>
      <c r="C18" s="197" t="s">
        <v>129</v>
      </c>
      <c r="D18" s="222"/>
      <c r="E18" s="196" t="s">
        <v>132</v>
      </c>
      <c r="F18" s="212">
        <f>IF(D19="","",D18-(1.29904*D19*(D20/100)))</f>
      </c>
      <c r="G18" s="198" t="s">
        <v>132</v>
      </c>
      <c r="H18" s="407">
        <f>IF(D19="","",H19*25.4)</f>
      </c>
      <c r="I18" s="420" t="s">
        <v>132</v>
      </c>
      <c r="J18" s="198"/>
      <c r="K18" s="215">
        <v>10</v>
      </c>
      <c r="L18" s="262">
        <v>0.19</v>
      </c>
      <c r="M18" s="199"/>
      <c r="N18" s="96"/>
      <c r="O18" s="96"/>
    </row>
    <row r="19" spans="1:15" ht="15">
      <c r="A19" s="96"/>
      <c r="B19" s="204"/>
      <c r="C19" s="197" t="s">
        <v>136</v>
      </c>
      <c r="D19" s="222"/>
      <c r="E19" s="196" t="s">
        <v>132</v>
      </c>
      <c r="F19" s="212">
        <f>IF(D19="","",F18/25.4)</f>
      </c>
      <c r="G19" s="198" t="s">
        <v>130</v>
      </c>
      <c r="H19" s="407">
        <f>IF(D19="","",(D18/25.4)-((0.0068*D20)/F21))</f>
      </c>
      <c r="I19" s="420" t="s">
        <v>130</v>
      </c>
      <c r="J19" s="196"/>
      <c r="K19" s="215">
        <v>12</v>
      </c>
      <c r="L19" s="262">
        <v>0.216</v>
      </c>
      <c r="M19" s="199"/>
      <c r="N19" s="96"/>
      <c r="O19" s="96"/>
    </row>
    <row r="20" spans="1:15" ht="15">
      <c r="A20" s="96"/>
      <c r="B20" s="204"/>
      <c r="C20" s="197" t="s">
        <v>133</v>
      </c>
      <c r="D20" s="222">
        <v>75</v>
      </c>
      <c r="E20" s="196" t="s">
        <v>134</v>
      </c>
      <c r="F20" s="439"/>
      <c r="G20" s="196"/>
      <c r="H20" s="411"/>
      <c r="I20" s="392"/>
      <c r="J20" s="196"/>
      <c r="K20" s="384">
        <v>14</v>
      </c>
      <c r="L20" s="385">
        <v>0.242</v>
      </c>
      <c r="M20" s="199"/>
      <c r="N20" s="96"/>
      <c r="O20" s="96"/>
    </row>
    <row r="21" spans="1:15" ht="15">
      <c r="A21" s="96"/>
      <c r="B21" s="204"/>
      <c r="C21" s="196"/>
      <c r="D21" s="196"/>
      <c r="E21" s="197" t="s">
        <v>137</v>
      </c>
      <c r="F21" s="401">
        <f>IF(D19="","",1/(D19/25.4))</f>
      </c>
      <c r="G21" s="196"/>
      <c r="H21" s="412"/>
      <c r="I21" s="392"/>
      <c r="J21" s="196"/>
      <c r="K21" s="388"/>
      <c r="L21" s="389"/>
      <c r="M21" s="199"/>
      <c r="N21" s="96"/>
      <c r="O21" s="96"/>
    </row>
    <row r="22" spans="1:15" ht="15">
      <c r="A22" s="96"/>
      <c r="B22" s="393"/>
      <c r="C22" s="394"/>
      <c r="D22" s="402"/>
      <c r="E22" s="395"/>
      <c r="F22" s="427" t="str">
        <f>IF(D18&gt;38.5,"","Drill")</f>
        <v>Drill</v>
      </c>
      <c r="G22" s="428" t="str">
        <f>IF(D18&gt;38.5,"","Inches")</f>
        <v>Inches</v>
      </c>
      <c r="H22" s="429" t="str">
        <f>IF(D18&gt;38.5,"","Drill")</f>
        <v>Drill</v>
      </c>
      <c r="I22" s="430" t="str">
        <f>IF(D18&gt;38.5,"","Inches")</f>
        <v>Inches</v>
      </c>
      <c r="J22" s="50"/>
      <c r="K22" s="220" t="s">
        <v>642</v>
      </c>
      <c r="L22" s="389"/>
      <c r="M22" s="199"/>
      <c r="N22" s="96"/>
      <c r="O22" s="96"/>
    </row>
    <row r="23" spans="1:15" ht="15">
      <c r="A23" s="96"/>
      <c r="B23" s="661" t="str">
        <f>IF(D18&gt;38.5,"","Closest Inch Drill Bits")</f>
        <v>Closest Inch Drill Bits</v>
      </c>
      <c r="C23" s="662"/>
      <c r="D23" s="662"/>
      <c r="E23" s="663"/>
      <c r="F23" s="396">
        <f>IF(D19="","",IF(D18&gt;38.5,"",INDEX(Data!G101:G318,MATCH(F19,Data!F101:F318,1),1)))</f>
      </c>
      <c r="G23" s="403">
        <f>IF(D19="","",IF(D18&gt;38.5,"",INDEX(Data!F101:F318,MATCH(F19,Data!F101:F318,1),1)))</f>
      </c>
      <c r="H23" s="408">
        <f>IF(D19="","",IF(D18&gt;38.5,"",INDEX(Data!G101:G318,MATCH(H19,Data!F101:F318,1),1)))</f>
      </c>
      <c r="I23" s="398">
        <f>IF(D19="","",IF(D18&gt;38.5,"",INDEX(Data!F101:F318,MATCH(H19,Data!F101:F318,1),1)))</f>
      </c>
      <c r="J23" s="416"/>
      <c r="K23" s="426" t="s">
        <v>643</v>
      </c>
      <c r="L23" s="389"/>
      <c r="M23" s="199"/>
      <c r="N23" s="96"/>
      <c r="O23" s="96"/>
    </row>
    <row r="24" spans="1:15" ht="15">
      <c r="A24" s="96"/>
      <c r="B24" s="664"/>
      <c r="C24" s="662"/>
      <c r="D24" s="662"/>
      <c r="E24" s="663"/>
      <c r="F24" s="399">
        <f>IF(D19="","",IF(D18&gt;38.5,"",INDEX(Data!J101:J318,MATCH(F19,Data!I101:I318,-1),1)))</f>
      </c>
      <c r="G24" s="404">
        <f>IF(D19="","",IF(D18&gt;38.5,"",INDEX(Data!I101:I318,MATCH(F19,Data!I101:I318,-1),1)))</f>
      </c>
      <c r="H24" s="409">
        <f>IF(D19="","",IF(D18&gt;38.5,"",INDEX(Data!J101:J318,MATCH(H19,Data!I101:I318,-1),1)))</f>
      </c>
      <c r="I24" s="400">
        <f>IF(D19="","",IF(D18&gt;38.5,"",INDEX(Data!I101:I318,MATCH(H19,Data!I101:I318,-1),1)))</f>
      </c>
      <c r="J24" s="50"/>
      <c r="K24" s="426" t="s">
        <v>644</v>
      </c>
      <c r="L24" s="389"/>
      <c r="M24" s="199"/>
      <c r="N24" s="96"/>
      <c r="O24" s="96"/>
    </row>
    <row r="25" spans="1:15" ht="15">
      <c r="A25" s="96"/>
      <c r="B25" s="661" t="str">
        <f>IF(D18&gt;38.5,"","Closest Millimeter Drill Bits")</f>
        <v>Closest Millimeter Drill Bits</v>
      </c>
      <c r="C25" s="662"/>
      <c r="D25" s="662"/>
      <c r="E25" s="663"/>
      <c r="F25" s="397">
        <f>IF(D19="","",IF(D18&gt;38.5,"",INDEX(Data!P2:P215,MATCH(F19,Data!O2:O215,1),1)))</f>
      </c>
      <c r="G25" s="403">
        <f>IF(D19="","",IF(D18&gt;38.5,"",INDEX(Data!O2:O215,MATCH(F19,Data!O2:O215,1),1)))</f>
      </c>
      <c r="H25" s="410">
        <f>IF(D19="","",IF(D18&gt;38.5,"",INDEX(Data!P2:P215,MATCH(H19,Data!O2:O215,1),1)))</f>
      </c>
      <c r="I25" s="398">
        <f>IF(D19="","",IF(D18&gt;38.5,"",INDEX(Data!O2:O215,MATCH(H19,Data!O2:O215,1),1)))</f>
      </c>
      <c r="J25" s="50"/>
      <c r="K25" s="388"/>
      <c r="L25" s="389"/>
      <c r="M25" s="199"/>
      <c r="N25" s="96"/>
      <c r="O25" s="96"/>
    </row>
    <row r="26" spans="1:15" ht="15">
      <c r="A26" s="96"/>
      <c r="B26" s="665"/>
      <c r="C26" s="666"/>
      <c r="D26" s="666"/>
      <c r="E26" s="667"/>
      <c r="F26" s="435">
        <f>IF(D19="","",IF(D18&gt;38.5,"",INDEX(Data!R2:R215,MATCH(F19,Data!Q2:Q215,-1),1)))</f>
      </c>
      <c r="G26" s="436">
        <f>IF(D19="","",IF(D18&gt;38.5,"",INDEX(Data!Q2:Q215,MATCH(F19,Data!Q2:Q215,-1),1)))</f>
      </c>
      <c r="H26" s="437">
        <f>IF(D19="","",IF(D18&gt;38.5,"",INDEX(Data!R2:R215,MATCH(H19,Data!Q2:Q215,-1),1)))</f>
      </c>
      <c r="I26" s="438">
        <f>IF(D19="","",IF(D18&gt;38.5,"",INDEX(Data!Q2:Q215,MATCH(H19,Data!Q2:Q215,-1),1)))</f>
      </c>
      <c r="J26" s="196"/>
      <c r="K26" s="388"/>
      <c r="L26" s="389"/>
      <c r="M26" s="199"/>
      <c r="N26" s="96"/>
      <c r="O26" s="96"/>
    </row>
    <row r="27" spans="1:15" ht="15">
      <c r="A27" s="96"/>
      <c r="B27" s="204"/>
      <c r="C27" s="386"/>
      <c r="D27" s="196"/>
      <c r="E27" s="196"/>
      <c r="F27" s="196"/>
      <c r="G27" s="386"/>
      <c r="H27" s="220"/>
      <c r="I27" s="196"/>
      <c r="J27" s="196"/>
      <c r="K27" s="388"/>
      <c r="L27" s="389"/>
      <c r="M27" s="199"/>
      <c r="N27" s="96"/>
      <c r="O27" s="96"/>
    </row>
    <row r="28" spans="1:15" ht="15.75" thickBot="1">
      <c r="A28" s="96"/>
      <c r="B28" s="206"/>
      <c r="C28" s="207"/>
      <c r="D28" s="207"/>
      <c r="E28" s="207"/>
      <c r="F28" s="207"/>
      <c r="G28" s="207"/>
      <c r="H28" s="207"/>
      <c r="I28" s="207"/>
      <c r="J28" s="207"/>
      <c r="K28" s="390"/>
      <c r="L28" s="391"/>
      <c r="M28" s="208"/>
      <c r="N28" s="96"/>
      <c r="O28" s="96"/>
    </row>
    <row r="29" spans="1:15" ht="1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1:15" ht="1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</sheetData>
  <sheetProtection sheet="1" objects="1" scenarios="1"/>
  <mergeCells count="4">
    <mergeCell ref="B23:E24"/>
    <mergeCell ref="B25:E26"/>
    <mergeCell ref="B11:E12"/>
    <mergeCell ref="B13:E14"/>
  </mergeCells>
  <conditionalFormatting sqref="B10:I14">
    <cfRule type="expression" priority="1" dxfId="4" stopIfTrue="1">
      <formula>$D$6&gt;1.5</formula>
    </cfRule>
  </conditionalFormatting>
  <conditionalFormatting sqref="B22:I26">
    <cfRule type="expression" priority="2" dxfId="3" stopIfTrue="1">
      <formula>$D$18&gt;38.5</formula>
    </cfRule>
  </conditionalFormatting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</sheetPr>
  <dimension ref="B1:F22"/>
  <sheetViews>
    <sheetView showGridLines="0" showRowColHeaders="0" tabSelected="1" zoomScalePageLayoutView="0" workbookViewId="0" topLeftCell="A1">
      <selection activeCell="B5" sqref="B5"/>
    </sheetView>
  </sheetViews>
  <sheetFormatPr defaultColWidth="8.88671875" defaultRowHeight="15"/>
  <cols>
    <col min="1" max="1" width="3.77734375" style="0" customWidth="1"/>
  </cols>
  <sheetData>
    <row r="1" spans="2:5" ht="26.25">
      <c r="B1" s="376" t="s">
        <v>138</v>
      </c>
      <c r="C1" s="377"/>
      <c r="D1" s="377"/>
      <c r="E1" s="378"/>
    </row>
    <row r="2" spans="2:5" ht="15">
      <c r="B2" s="365"/>
      <c r="C2" s="366"/>
      <c r="D2" s="366"/>
      <c r="E2" s="367"/>
    </row>
    <row r="3" spans="2:5" ht="15">
      <c r="B3" s="341"/>
      <c r="C3" s="342"/>
      <c r="D3" s="343" t="s">
        <v>127</v>
      </c>
      <c r="E3" s="344"/>
    </row>
    <row r="4" spans="2:5" ht="15">
      <c r="B4" s="345" t="s">
        <v>139</v>
      </c>
      <c r="C4" s="346" t="s">
        <v>140</v>
      </c>
      <c r="D4" s="346" t="s">
        <v>141</v>
      </c>
      <c r="E4" s="347" t="s">
        <v>142</v>
      </c>
    </row>
    <row r="5" spans="2:6" ht="16.5" customHeight="1">
      <c r="B5" s="348"/>
      <c r="C5" s="349">
        <f>IF(Data!S3=0,"",Data!S3)</f>
      </c>
      <c r="D5" s="349">
        <f>IF(Data!S4=0,"",Data!S4)</f>
        <v>97</v>
      </c>
      <c r="E5" s="350">
        <f>IF(Data!S5=0,"",Data!S5)</f>
        <v>0.15</v>
      </c>
      <c r="F5" s="351"/>
    </row>
    <row r="6" spans="2:6" ht="15">
      <c r="B6" s="352"/>
      <c r="C6" s="353"/>
      <c r="D6" s="353"/>
      <c r="E6" s="354"/>
      <c r="F6" s="351"/>
    </row>
    <row r="7" spans="2:6" ht="15">
      <c r="B7" s="355"/>
      <c r="C7" s="356"/>
      <c r="D7" s="357"/>
      <c r="E7" s="358"/>
      <c r="F7" s="351"/>
    </row>
    <row r="8" spans="2:5" ht="15">
      <c r="B8" s="359" t="s">
        <v>142</v>
      </c>
      <c r="C8" s="360" t="s">
        <v>139</v>
      </c>
      <c r="D8" s="361"/>
      <c r="E8" s="362"/>
    </row>
    <row r="9" spans="2:5" ht="16.5" customHeight="1">
      <c r="B9" s="363"/>
      <c r="C9" s="361">
        <f>Data!S21</f>
        <v>0.0059</v>
      </c>
      <c r="D9" s="364"/>
      <c r="E9" s="362"/>
    </row>
    <row r="10" spans="2:5" ht="15">
      <c r="B10" s="365"/>
      <c r="C10" s="366"/>
      <c r="D10" s="366"/>
      <c r="E10" s="367"/>
    </row>
    <row r="11" spans="2:5" ht="15">
      <c r="B11" s="341"/>
      <c r="C11" s="342"/>
      <c r="D11" s="342"/>
      <c r="E11" s="344"/>
    </row>
    <row r="12" spans="2:5" ht="15">
      <c r="B12" s="368" t="s">
        <v>127</v>
      </c>
      <c r="C12" s="346" t="s">
        <v>139</v>
      </c>
      <c r="D12" s="369"/>
      <c r="E12" s="370"/>
    </row>
    <row r="13" spans="2:5" ht="16.5" customHeight="1">
      <c r="B13" s="371"/>
      <c r="C13" s="349">
        <f>Data!S17</f>
        <v>0.228</v>
      </c>
      <c r="D13" s="369"/>
      <c r="E13" s="370"/>
    </row>
    <row r="14" spans="2:5" ht="15">
      <c r="B14" s="372"/>
      <c r="C14" s="373"/>
      <c r="D14" s="373"/>
      <c r="E14" s="374"/>
    </row>
    <row r="15" spans="2:5" ht="15">
      <c r="B15" s="355"/>
      <c r="C15" s="356"/>
      <c r="D15" s="356"/>
      <c r="E15" s="375"/>
    </row>
    <row r="16" spans="2:5" ht="15">
      <c r="B16" s="359" t="s">
        <v>140</v>
      </c>
      <c r="C16" s="360" t="s">
        <v>139</v>
      </c>
      <c r="D16" s="364"/>
      <c r="E16" s="362"/>
    </row>
    <row r="17" spans="2:5" ht="16.5" customHeight="1">
      <c r="B17" s="363"/>
      <c r="C17" s="361">
        <f>Data!S9</f>
        <v>0.0156</v>
      </c>
      <c r="D17" s="364"/>
      <c r="E17" s="362"/>
    </row>
    <row r="18" spans="2:5" ht="15">
      <c r="B18" s="365"/>
      <c r="C18" s="366"/>
      <c r="D18" s="366"/>
      <c r="E18" s="367"/>
    </row>
    <row r="19" spans="2:5" ht="15">
      <c r="B19" s="341"/>
      <c r="C19" s="342"/>
      <c r="D19" s="342"/>
      <c r="E19" s="344"/>
    </row>
    <row r="20" spans="2:5" ht="15">
      <c r="B20" s="368" t="s">
        <v>143</v>
      </c>
      <c r="C20" s="346" t="s">
        <v>139</v>
      </c>
      <c r="D20" s="369"/>
      <c r="E20" s="370"/>
    </row>
    <row r="21" spans="2:5" ht="16.5" customHeight="1">
      <c r="B21" s="371"/>
      <c r="C21" s="349">
        <f>Data!S13</f>
        <v>0.234</v>
      </c>
      <c r="D21" s="369"/>
      <c r="E21" s="370"/>
    </row>
    <row r="22" spans="2:5" ht="15">
      <c r="B22" s="372"/>
      <c r="C22" s="373"/>
      <c r="D22" s="373"/>
      <c r="E22" s="374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portrait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T72"/>
  <sheetViews>
    <sheetView showGridLines="0" showRowColHeaders="0" zoomScalePageLayoutView="0" workbookViewId="0" topLeftCell="A1">
      <selection activeCell="A1" sqref="A1"/>
    </sheetView>
  </sheetViews>
  <sheetFormatPr defaultColWidth="8.88671875" defaultRowHeight="15"/>
  <cols>
    <col min="1" max="2" width="4.21484375" style="224" customWidth="1"/>
    <col min="3" max="3" width="2.6640625" style="224" customWidth="1"/>
    <col min="4" max="6" width="4.21484375" style="224" customWidth="1"/>
    <col min="7" max="7" width="2.6640625" style="224" customWidth="1"/>
    <col min="8" max="10" width="4.21484375" style="224" customWidth="1"/>
    <col min="11" max="11" width="2.21484375" style="224" customWidth="1"/>
    <col min="12" max="14" width="4.21484375" style="224" customWidth="1"/>
    <col min="15" max="15" width="2.21484375" style="224" customWidth="1"/>
    <col min="16" max="16" width="4.6640625" style="224" customWidth="1"/>
    <col min="17" max="18" width="5.21484375" style="224" customWidth="1"/>
    <col min="19" max="19" width="4.6640625" style="224" customWidth="1"/>
    <col min="20" max="16384" width="8.88671875" style="224" customWidth="1"/>
  </cols>
  <sheetData>
    <row r="1" spans="1:19" ht="39.75" customHeight="1">
      <c r="A1" s="225" t="s">
        <v>140</v>
      </c>
      <c r="B1" s="226" t="s">
        <v>139</v>
      </c>
      <c r="C1" s="226" t="s">
        <v>127</v>
      </c>
      <c r="D1" s="226" t="s">
        <v>142</v>
      </c>
      <c r="E1" s="225" t="s">
        <v>140</v>
      </c>
      <c r="F1" s="226" t="s">
        <v>139</v>
      </c>
      <c r="G1" s="226" t="s">
        <v>127</v>
      </c>
      <c r="H1" s="226" t="s">
        <v>142</v>
      </c>
      <c r="I1" s="225" t="s">
        <v>140</v>
      </c>
      <c r="J1" s="226" t="s">
        <v>139</v>
      </c>
      <c r="K1" s="226" t="s">
        <v>143</v>
      </c>
      <c r="L1" s="226" t="s">
        <v>142</v>
      </c>
      <c r="M1" s="225" t="s">
        <v>140</v>
      </c>
      <c r="N1" s="226" t="s">
        <v>139</v>
      </c>
      <c r="O1" s="226" t="s">
        <v>143</v>
      </c>
      <c r="P1" s="226" t="s">
        <v>142</v>
      </c>
      <c r="Q1" s="225" t="s">
        <v>140</v>
      </c>
      <c r="R1" s="226" t="s">
        <v>139</v>
      </c>
      <c r="S1" s="227" t="s">
        <v>142</v>
      </c>
    </row>
    <row r="2" spans="1:20" ht="9" customHeight="1">
      <c r="A2" s="230"/>
      <c r="B2" s="236">
        <v>0.04</v>
      </c>
      <c r="C2" s="231">
        <v>60</v>
      </c>
      <c r="D2" s="232"/>
      <c r="E2" s="230"/>
      <c r="F2" s="236">
        <v>0.122</v>
      </c>
      <c r="G2" s="231"/>
      <c r="H2" s="232">
        <v>3.1</v>
      </c>
      <c r="I2" s="230" t="s">
        <v>144</v>
      </c>
      <c r="J2" s="236">
        <v>0.2344</v>
      </c>
      <c r="K2" s="231"/>
      <c r="L2" s="232"/>
      <c r="M2" s="230" t="s">
        <v>145</v>
      </c>
      <c r="N2" s="236">
        <v>0.375</v>
      </c>
      <c r="O2" s="231"/>
      <c r="P2" s="232"/>
      <c r="Q2" s="230" t="s">
        <v>146</v>
      </c>
      <c r="R2" s="236">
        <v>0.9062</v>
      </c>
      <c r="S2" s="233"/>
      <c r="T2" s="223"/>
    </row>
    <row r="3" spans="1:20" ht="9" customHeight="1">
      <c r="A3" s="230"/>
      <c r="B3" s="236">
        <v>0.041</v>
      </c>
      <c r="C3" s="231">
        <v>59</v>
      </c>
      <c r="D3" s="232"/>
      <c r="E3" s="230" t="s">
        <v>147</v>
      </c>
      <c r="F3" s="236">
        <v>0.125</v>
      </c>
      <c r="G3" s="231"/>
      <c r="H3" s="232"/>
      <c r="I3" s="230"/>
      <c r="J3" s="236">
        <v>0.2362</v>
      </c>
      <c r="K3" s="231"/>
      <c r="L3" s="232">
        <v>6</v>
      </c>
      <c r="M3" s="230"/>
      <c r="N3" s="236">
        <v>0.377</v>
      </c>
      <c r="O3" s="231" t="s">
        <v>148</v>
      </c>
      <c r="P3" s="232"/>
      <c r="Q3" s="230" t="s">
        <v>149</v>
      </c>
      <c r="R3" s="236">
        <v>0.9219</v>
      </c>
      <c r="S3" s="233"/>
      <c r="T3" s="223"/>
    </row>
    <row r="4" spans="1:20" ht="9" customHeight="1">
      <c r="A4" s="230"/>
      <c r="B4" s="236">
        <v>0.0413</v>
      </c>
      <c r="C4" s="231"/>
      <c r="D4" s="232">
        <v>1.05</v>
      </c>
      <c r="E4" s="230"/>
      <c r="F4" s="236">
        <v>0.126</v>
      </c>
      <c r="G4" s="231"/>
      <c r="H4" s="232">
        <v>3.2</v>
      </c>
      <c r="I4" s="230"/>
      <c r="J4" s="236">
        <v>0.23800000000000002</v>
      </c>
      <c r="K4" s="231" t="s">
        <v>150</v>
      </c>
      <c r="L4" s="232"/>
      <c r="M4" s="230"/>
      <c r="N4" s="236">
        <v>0.378</v>
      </c>
      <c r="O4" s="231"/>
      <c r="P4" s="232">
        <v>9.6</v>
      </c>
      <c r="Q4" s="230"/>
      <c r="R4" s="236">
        <v>0.9252</v>
      </c>
      <c r="S4" s="233">
        <v>23.5</v>
      </c>
      <c r="T4" s="223"/>
    </row>
    <row r="5" spans="1:20" ht="9" customHeight="1">
      <c r="A5" s="230"/>
      <c r="B5" s="236">
        <v>0.042</v>
      </c>
      <c r="C5" s="231">
        <v>58</v>
      </c>
      <c r="D5" s="232"/>
      <c r="E5" s="230"/>
      <c r="F5" s="236">
        <v>0.128</v>
      </c>
      <c r="G5" s="231"/>
      <c r="H5" s="232">
        <v>3.25</v>
      </c>
      <c r="I5" s="230"/>
      <c r="J5" s="236">
        <v>0.2402</v>
      </c>
      <c r="K5" s="231"/>
      <c r="L5" s="232">
        <v>6.1</v>
      </c>
      <c r="M5" s="230"/>
      <c r="N5" s="236">
        <v>0.3819</v>
      </c>
      <c r="O5" s="231"/>
      <c r="P5" s="232">
        <v>9.7</v>
      </c>
      <c r="Q5" s="230" t="s">
        <v>151</v>
      </c>
      <c r="R5" s="236">
        <v>0.9375</v>
      </c>
      <c r="S5" s="233"/>
      <c r="T5" s="223"/>
    </row>
    <row r="6" spans="1:20" ht="9" customHeight="1">
      <c r="A6" s="230"/>
      <c r="B6" s="236">
        <v>0.043000000000000003</v>
      </c>
      <c r="C6" s="231">
        <v>57</v>
      </c>
      <c r="D6" s="232"/>
      <c r="E6" s="230"/>
      <c r="F6" s="236">
        <v>0.1285</v>
      </c>
      <c r="G6" s="231">
        <v>30</v>
      </c>
      <c r="H6" s="232"/>
      <c r="I6" s="230"/>
      <c r="J6" s="236">
        <v>0.242</v>
      </c>
      <c r="K6" s="231" t="s">
        <v>152</v>
      </c>
      <c r="L6" s="232"/>
      <c r="M6" s="230"/>
      <c r="N6" s="236">
        <v>0.3839</v>
      </c>
      <c r="O6" s="231"/>
      <c r="P6" s="232">
        <v>9.75</v>
      </c>
      <c r="Q6" s="230"/>
      <c r="R6" s="236">
        <v>0.9449</v>
      </c>
      <c r="S6" s="233">
        <v>24</v>
      </c>
      <c r="T6" s="223"/>
    </row>
    <row r="7" spans="1:20" ht="9" customHeight="1">
      <c r="A7" s="230"/>
      <c r="B7" s="236">
        <v>0.043300000000000005</v>
      </c>
      <c r="C7" s="231"/>
      <c r="D7" s="232">
        <v>1.1</v>
      </c>
      <c r="E7" s="230"/>
      <c r="F7" s="236">
        <v>0.1299</v>
      </c>
      <c r="G7" s="231"/>
      <c r="H7" s="232">
        <v>3.3</v>
      </c>
      <c r="I7" s="230"/>
      <c r="J7" s="236">
        <v>0.2441</v>
      </c>
      <c r="K7" s="231"/>
      <c r="L7" s="232">
        <v>6.2</v>
      </c>
      <c r="M7" s="230"/>
      <c r="N7" s="236">
        <v>0.3858</v>
      </c>
      <c r="O7" s="231"/>
      <c r="P7" s="232">
        <v>9.8</v>
      </c>
      <c r="Q7" s="230" t="s">
        <v>153</v>
      </c>
      <c r="R7" s="236">
        <v>0.9531</v>
      </c>
      <c r="S7" s="233"/>
      <c r="T7" s="223"/>
    </row>
    <row r="8" spans="1:20" ht="9" customHeight="1">
      <c r="A8" s="230"/>
      <c r="B8" s="236">
        <v>0.0453</v>
      </c>
      <c r="C8" s="231"/>
      <c r="D8" s="232">
        <v>1.15</v>
      </c>
      <c r="E8" s="230"/>
      <c r="F8" s="236">
        <v>0.1339</v>
      </c>
      <c r="G8" s="231"/>
      <c r="H8" s="232">
        <v>3.4</v>
      </c>
      <c r="I8" s="230"/>
      <c r="J8" s="236">
        <v>0.246</v>
      </c>
      <c r="K8" s="231" t="s">
        <v>154</v>
      </c>
      <c r="L8" s="232"/>
      <c r="M8" s="230"/>
      <c r="N8" s="236">
        <v>0.386</v>
      </c>
      <c r="O8" s="231" t="s">
        <v>155</v>
      </c>
      <c r="P8" s="232"/>
      <c r="Q8" s="230"/>
      <c r="R8" s="236">
        <v>0.9646</v>
      </c>
      <c r="S8" s="233">
        <v>24.5</v>
      </c>
      <c r="T8" s="223"/>
    </row>
    <row r="9" spans="1:20" ht="9" customHeight="1">
      <c r="A9" s="230"/>
      <c r="B9" s="236">
        <v>0.0465</v>
      </c>
      <c r="C9" s="231">
        <v>56</v>
      </c>
      <c r="D9" s="232"/>
      <c r="E9" s="230"/>
      <c r="F9" s="236">
        <v>0.136</v>
      </c>
      <c r="G9" s="231">
        <v>29</v>
      </c>
      <c r="H9" s="232"/>
      <c r="I9" s="230"/>
      <c r="J9" s="236">
        <v>0.2461</v>
      </c>
      <c r="K9" s="231"/>
      <c r="L9" s="232">
        <v>6.25</v>
      </c>
      <c r="M9" s="230"/>
      <c r="N9" s="236">
        <v>0.3898</v>
      </c>
      <c r="O9" s="231"/>
      <c r="P9" s="232">
        <v>9.9</v>
      </c>
      <c r="Q9" s="230" t="s">
        <v>156</v>
      </c>
      <c r="R9" s="236">
        <v>0.9688</v>
      </c>
      <c r="S9" s="233"/>
      <c r="T9" s="223"/>
    </row>
    <row r="10" spans="1:20" ht="9" customHeight="1">
      <c r="A10" s="230" t="s">
        <v>157</v>
      </c>
      <c r="B10" s="236">
        <v>0.046900000000000004</v>
      </c>
      <c r="C10" s="231"/>
      <c r="D10" s="232"/>
      <c r="E10" s="230"/>
      <c r="F10" s="236">
        <v>0.1378</v>
      </c>
      <c r="G10" s="231"/>
      <c r="H10" s="232">
        <v>3.5</v>
      </c>
      <c r="I10" s="230"/>
      <c r="J10" s="236">
        <v>0.248</v>
      </c>
      <c r="K10" s="231"/>
      <c r="L10" s="232">
        <v>6.3</v>
      </c>
      <c r="M10" s="230" t="s">
        <v>158</v>
      </c>
      <c r="N10" s="236">
        <v>0.3906</v>
      </c>
      <c r="O10" s="231"/>
      <c r="P10" s="232"/>
      <c r="Q10" s="230"/>
      <c r="R10" s="236">
        <v>0.9843</v>
      </c>
      <c r="S10" s="233">
        <v>25</v>
      </c>
      <c r="T10" s="223"/>
    </row>
    <row r="11" spans="1:20" ht="9" customHeight="1">
      <c r="A11" s="230"/>
      <c r="B11" s="236">
        <v>0.0472</v>
      </c>
      <c r="C11" s="231"/>
      <c r="D11" s="232">
        <v>1.2</v>
      </c>
      <c r="E11" s="230"/>
      <c r="F11" s="236">
        <v>0.1405</v>
      </c>
      <c r="G11" s="231">
        <v>28</v>
      </c>
      <c r="H11" s="232"/>
      <c r="I11" s="230" t="s">
        <v>159</v>
      </c>
      <c r="J11" s="236">
        <v>0.25</v>
      </c>
      <c r="K11" s="231" t="s">
        <v>160</v>
      </c>
      <c r="L11" s="232"/>
      <c r="M11" s="230"/>
      <c r="N11" s="236">
        <v>0.3937</v>
      </c>
      <c r="O11" s="231"/>
      <c r="P11" s="232">
        <v>10</v>
      </c>
      <c r="Q11" s="230" t="s">
        <v>161</v>
      </c>
      <c r="R11" s="236">
        <v>0.9844</v>
      </c>
      <c r="S11" s="233"/>
      <c r="T11" s="223"/>
    </row>
    <row r="12" spans="1:20" ht="9" customHeight="1">
      <c r="A12" s="230"/>
      <c r="B12" s="236">
        <v>0.0492</v>
      </c>
      <c r="C12" s="231"/>
      <c r="D12" s="232">
        <v>1.25</v>
      </c>
      <c r="E12" s="230" t="s">
        <v>162</v>
      </c>
      <c r="F12" s="236">
        <v>0.1406</v>
      </c>
      <c r="G12" s="231"/>
      <c r="H12" s="232"/>
      <c r="I12" s="230"/>
      <c r="J12" s="236">
        <v>0.252</v>
      </c>
      <c r="K12" s="231"/>
      <c r="L12" s="232">
        <v>6.4</v>
      </c>
      <c r="M12" s="230"/>
      <c r="N12" s="236">
        <v>0.397</v>
      </c>
      <c r="O12" s="231" t="s">
        <v>120</v>
      </c>
      <c r="P12" s="232"/>
      <c r="Q12" s="230" t="s">
        <v>163</v>
      </c>
      <c r="R12" s="236">
        <v>1</v>
      </c>
      <c r="S12" s="233"/>
      <c r="T12" s="223"/>
    </row>
    <row r="13" spans="1:20" ht="9" customHeight="1">
      <c r="A13" s="230"/>
      <c r="B13" s="236">
        <v>0.0512</v>
      </c>
      <c r="C13" s="231"/>
      <c r="D13" s="232">
        <v>1.3</v>
      </c>
      <c r="E13" s="230"/>
      <c r="F13" s="236">
        <v>0.1417</v>
      </c>
      <c r="G13" s="231"/>
      <c r="H13" s="232">
        <v>3.6</v>
      </c>
      <c r="I13" s="230"/>
      <c r="J13" s="236">
        <v>0.2559</v>
      </c>
      <c r="K13" s="231"/>
      <c r="L13" s="232">
        <v>6.5</v>
      </c>
      <c r="M13" s="230"/>
      <c r="N13" s="236">
        <v>0.404</v>
      </c>
      <c r="O13" s="231" t="s">
        <v>101</v>
      </c>
      <c r="P13" s="232"/>
      <c r="Q13" s="230"/>
      <c r="R13" s="236">
        <v>1.0039</v>
      </c>
      <c r="S13" s="233">
        <v>25.5</v>
      </c>
      <c r="T13" s="223"/>
    </row>
    <row r="14" spans="1:20" ht="9" customHeight="1">
      <c r="A14" s="230"/>
      <c r="B14" s="236">
        <v>0.052000000000000005</v>
      </c>
      <c r="C14" s="231">
        <v>55</v>
      </c>
      <c r="D14" s="232"/>
      <c r="E14" s="230"/>
      <c r="F14" s="236">
        <v>0.14400000000000002</v>
      </c>
      <c r="G14" s="231">
        <v>27</v>
      </c>
      <c r="H14" s="232"/>
      <c r="I14" s="230"/>
      <c r="J14" s="236">
        <v>0.257</v>
      </c>
      <c r="K14" s="231" t="s">
        <v>164</v>
      </c>
      <c r="L14" s="232"/>
      <c r="M14" s="230" t="s">
        <v>165</v>
      </c>
      <c r="N14" s="236">
        <v>0.4062</v>
      </c>
      <c r="O14" s="231"/>
      <c r="P14" s="232"/>
      <c r="Q14" s="230" t="s">
        <v>166</v>
      </c>
      <c r="R14" s="236">
        <v>1.0156</v>
      </c>
      <c r="S14" s="233"/>
      <c r="T14" s="223"/>
    </row>
    <row r="15" spans="1:20" ht="9" customHeight="1">
      <c r="A15" s="230"/>
      <c r="B15" s="236">
        <v>0.0531</v>
      </c>
      <c r="C15" s="231"/>
      <c r="D15" s="232">
        <v>1.35</v>
      </c>
      <c r="E15" s="230"/>
      <c r="F15" s="236">
        <v>0.1457</v>
      </c>
      <c r="G15" s="231"/>
      <c r="H15" s="232">
        <v>3.7</v>
      </c>
      <c r="I15" s="230"/>
      <c r="J15" s="236">
        <v>0.2598</v>
      </c>
      <c r="K15" s="231"/>
      <c r="L15" s="232">
        <v>6.6</v>
      </c>
      <c r="M15" s="230"/>
      <c r="N15" s="236">
        <v>0.41300000000000003</v>
      </c>
      <c r="O15" s="231" t="s">
        <v>102</v>
      </c>
      <c r="P15" s="232"/>
      <c r="Q15" s="230"/>
      <c r="R15" s="236">
        <v>1.0236</v>
      </c>
      <c r="S15" s="233">
        <v>26</v>
      </c>
      <c r="T15" s="223"/>
    </row>
    <row r="16" spans="1:20" ht="9" customHeight="1">
      <c r="A16" s="230"/>
      <c r="B16" s="236">
        <v>0.055</v>
      </c>
      <c r="C16" s="231">
        <v>54</v>
      </c>
      <c r="D16" s="232"/>
      <c r="E16" s="230"/>
      <c r="F16" s="236">
        <v>0.147</v>
      </c>
      <c r="G16" s="231">
        <v>26</v>
      </c>
      <c r="H16" s="232"/>
      <c r="I16" s="230"/>
      <c r="J16" s="236">
        <v>0.261</v>
      </c>
      <c r="K16" s="231" t="s">
        <v>167</v>
      </c>
      <c r="L16" s="232"/>
      <c r="M16" s="230"/>
      <c r="N16" s="236">
        <v>0.4134</v>
      </c>
      <c r="O16" s="231"/>
      <c r="P16" s="232">
        <v>10.5</v>
      </c>
      <c r="Q16" s="230" t="s">
        <v>168</v>
      </c>
      <c r="R16" s="236">
        <v>1.0312</v>
      </c>
      <c r="S16" s="233"/>
      <c r="T16" s="223"/>
    </row>
    <row r="17" spans="1:20" ht="9" customHeight="1">
      <c r="A17" s="230"/>
      <c r="B17" s="236">
        <v>0.0551</v>
      </c>
      <c r="C17" s="231"/>
      <c r="D17" s="232">
        <v>1.4</v>
      </c>
      <c r="E17" s="230"/>
      <c r="F17" s="236">
        <v>0.1476</v>
      </c>
      <c r="G17" s="231"/>
      <c r="H17" s="232">
        <v>3.75</v>
      </c>
      <c r="I17" s="230"/>
      <c r="J17" s="236">
        <v>0.2638</v>
      </c>
      <c r="K17" s="231"/>
      <c r="L17" s="232">
        <v>6.7</v>
      </c>
      <c r="M17" s="230" t="s">
        <v>169</v>
      </c>
      <c r="N17" s="236">
        <v>0.4219</v>
      </c>
      <c r="O17" s="231"/>
      <c r="P17" s="232"/>
      <c r="Q17" s="230"/>
      <c r="R17" s="236">
        <v>1.0433</v>
      </c>
      <c r="S17" s="233">
        <v>26.5</v>
      </c>
      <c r="T17" s="223"/>
    </row>
    <row r="18" spans="1:20" ht="9" customHeight="1">
      <c r="A18" s="230"/>
      <c r="B18" s="236">
        <v>0.057100000000000005</v>
      </c>
      <c r="C18" s="231"/>
      <c r="D18" s="232">
        <v>1.45</v>
      </c>
      <c r="E18" s="230"/>
      <c r="F18" s="236">
        <v>0.1495</v>
      </c>
      <c r="G18" s="231">
        <v>25</v>
      </c>
      <c r="H18" s="232"/>
      <c r="I18" s="230" t="s">
        <v>170</v>
      </c>
      <c r="J18" s="236">
        <v>0.2656</v>
      </c>
      <c r="K18" s="231"/>
      <c r="L18" s="232"/>
      <c r="M18" s="230"/>
      <c r="N18" s="236">
        <v>0.4331</v>
      </c>
      <c r="O18" s="231"/>
      <c r="P18" s="232">
        <v>11</v>
      </c>
      <c r="Q18" s="230" t="s">
        <v>171</v>
      </c>
      <c r="R18" s="236">
        <v>1.0469</v>
      </c>
      <c r="S18" s="233"/>
      <c r="T18" s="223"/>
    </row>
    <row r="19" spans="1:20" ht="9" customHeight="1">
      <c r="A19" s="230"/>
      <c r="B19" s="236">
        <v>0.0591</v>
      </c>
      <c r="C19" s="231"/>
      <c r="D19" s="232">
        <v>1.5</v>
      </c>
      <c r="E19" s="230"/>
      <c r="F19" s="236">
        <v>0.1496</v>
      </c>
      <c r="G19" s="231"/>
      <c r="H19" s="232">
        <v>3.8</v>
      </c>
      <c r="I19" s="230"/>
      <c r="J19" s="236">
        <v>0.2657</v>
      </c>
      <c r="K19" s="231"/>
      <c r="L19" s="232">
        <v>6.75</v>
      </c>
      <c r="M19" s="230" t="s">
        <v>172</v>
      </c>
      <c r="N19" s="236">
        <v>0.4375</v>
      </c>
      <c r="O19" s="231"/>
      <c r="P19" s="232"/>
      <c r="Q19" s="230" t="s">
        <v>173</v>
      </c>
      <c r="R19" s="236">
        <v>1.0625</v>
      </c>
      <c r="S19" s="233"/>
      <c r="T19" s="223"/>
    </row>
    <row r="20" spans="1:20" ht="9" customHeight="1">
      <c r="A20" s="230"/>
      <c r="B20" s="236">
        <v>0.059500000000000004</v>
      </c>
      <c r="C20" s="231">
        <v>53</v>
      </c>
      <c r="D20" s="232"/>
      <c r="E20" s="230"/>
      <c r="F20" s="236">
        <v>0.152</v>
      </c>
      <c r="G20" s="231">
        <v>24</v>
      </c>
      <c r="H20" s="232"/>
      <c r="I20" s="230"/>
      <c r="J20" s="236">
        <v>0.266</v>
      </c>
      <c r="K20" s="231" t="s">
        <v>174</v>
      </c>
      <c r="L20" s="232"/>
      <c r="M20" s="230"/>
      <c r="N20" s="236">
        <v>0.4528</v>
      </c>
      <c r="O20" s="231"/>
      <c r="P20" s="232">
        <v>11.5</v>
      </c>
      <c r="Q20" s="230"/>
      <c r="R20" s="236">
        <v>1.063</v>
      </c>
      <c r="S20" s="233">
        <v>27</v>
      </c>
      <c r="T20" s="223"/>
    </row>
    <row r="21" spans="1:20" ht="9" customHeight="1">
      <c r="A21" s="230"/>
      <c r="B21" s="236">
        <v>0.061000000000000006</v>
      </c>
      <c r="C21" s="231"/>
      <c r="D21" s="232">
        <v>1.55</v>
      </c>
      <c r="E21" s="230"/>
      <c r="F21" s="236">
        <v>0.1535</v>
      </c>
      <c r="G21" s="231"/>
      <c r="H21" s="232">
        <v>3.9</v>
      </c>
      <c r="I21" s="230"/>
      <c r="J21" s="236">
        <v>0.2677</v>
      </c>
      <c r="K21" s="231"/>
      <c r="L21" s="232">
        <v>6.8</v>
      </c>
      <c r="M21" s="230" t="s">
        <v>175</v>
      </c>
      <c r="N21" s="236">
        <v>0.4531</v>
      </c>
      <c r="O21" s="231"/>
      <c r="P21" s="232"/>
      <c r="Q21" s="230" t="s">
        <v>176</v>
      </c>
      <c r="R21" s="236">
        <v>1.0781</v>
      </c>
      <c r="S21" s="233"/>
      <c r="T21" s="223"/>
    </row>
    <row r="22" spans="1:20" ht="9" customHeight="1">
      <c r="A22" s="230" t="s">
        <v>177</v>
      </c>
      <c r="B22" s="236">
        <v>0.0625</v>
      </c>
      <c r="C22" s="231"/>
      <c r="D22" s="232"/>
      <c r="E22" s="230"/>
      <c r="F22" s="236">
        <v>0.154</v>
      </c>
      <c r="G22" s="231">
        <v>23</v>
      </c>
      <c r="H22" s="232"/>
      <c r="I22" s="230"/>
      <c r="J22" s="236">
        <v>0.2717</v>
      </c>
      <c r="K22" s="231"/>
      <c r="L22" s="232">
        <v>6.9</v>
      </c>
      <c r="M22" s="230" t="s">
        <v>178</v>
      </c>
      <c r="N22" s="236">
        <v>0.4688</v>
      </c>
      <c r="O22" s="231"/>
      <c r="P22" s="232"/>
      <c r="Q22" s="230"/>
      <c r="R22" s="236">
        <v>1.0827</v>
      </c>
      <c r="S22" s="233">
        <v>27.5</v>
      </c>
      <c r="T22" s="223"/>
    </row>
    <row r="23" spans="1:20" ht="9" customHeight="1">
      <c r="A23" s="230"/>
      <c r="B23" s="236">
        <v>0.063</v>
      </c>
      <c r="C23" s="231"/>
      <c r="D23" s="232">
        <v>1.6</v>
      </c>
      <c r="E23" s="230" t="s">
        <v>179</v>
      </c>
      <c r="F23" s="236">
        <v>0.1562</v>
      </c>
      <c r="G23" s="231"/>
      <c r="H23" s="232"/>
      <c r="I23" s="230"/>
      <c r="J23" s="236">
        <v>0.272</v>
      </c>
      <c r="K23" s="231" t="s">
        <v>180</v>
      </c>
      <c r="L23" s="232"/>
      <c r="M23" s="230"/>
      <c r="N23" s="236">
        <v>0.4724</v>
      </c>
      <c r="O23" s="231"/>
      <c r="P23" s="232">
        <v>12</v>
      </c>
      <c r="Q23" s="230" t="s">
        <v>181</v>
      </c>
      <c r="R23" s="236">
        <v>1.0938</v>
      </c>
      <c r="S23" s="233"/>
      <c r="T23" s="223"/>
    </row>
    <row r="24" spans="1:20" ht="9" customHeight="1">
      <c r="A24" s="230"/>
      <c r="B24" s="236">
        <v>0.0635</v>
      </c>
      <c r="C24" s="231">
        <v>52</v>
      </c>
      <c r="D24" s="232"/>
      <c r="E24" s="230"/>
      <c r="F24" s="236">
        <v>0.157</v>
      </c>
      <c r="G24" s="231">
        <v>22</v>
      </c>
      <c r="H24" s="232"/>
      <c r="I24" s="230"/>
      <c r="J24" s="236">
        <v>0.2756</v>
      </c>
      <c r="K24" s="231"/>
      <c r="L24" s="232">
        <v>7</v>
      </c>
      <c r="M24" s="230" t="s">
        <v>182</v>
      </c>
      <c r="N24" s="236">
        <v>0.4844</v>
      </c>
      <c r="O24" s="231"/>
      <c r="P24" s="232"/>
      <c r="Q24" s="230"/>
      <c r="R24" s="236">
        <v>1.1024</v>
      </c>
      <c r="S24" s="233">
        <v>28</v>
      </c>
      <c r="T24" s="223"/>
    </row>
    <row r="25" spans="1:20" ht="9" customHeight="1">
      <c r="A25" s="230"/>
      <c r="B25" s="236">
        <v>0.065</v>
      </c>
      <c r="C25" s="231"/>
      <c r="D25" s="232">
        <v>1.65</v>
      </c>
      <c r="E25" s="230"/>
      <c r="F25" s="236">
        <v>0.1575</v>
      </c>
      <c r="G25" s="231"/>
      <c r="H25" s="232">
        <v>4</v>
      </c>
      <c r="I25" s="230"/>
      <c r="J25" s="236">
        <v>0.277</v>
      </c>
      <c r="K25" s="231" t="s">
        <v>183</v>
      </c>
      <c r="L25" s="232"/>
      <c r="M25" s="230"/>
      <c r="N25" s="236">
        <v>0.4921</v>
      </c>
      <c r="O25" s="231"/>
      <c r="P25" s="232">
        <v>12.5</v>
      </c>
      <c r="Q25" s="230" t="s">
        <v>184</v>
      </c>
      <c r="R25" s="236">
        <v>1.1094</v>
      </c>
      <c r="S25" s="233"/>
      <c r="T25" s="223"/>
    </row>
    <row r="26" spans="1:20" ht="9" customHeight="1">
      <c r="A26" s="230"/>
      <c r="B26" s="236">
        <v>0.0669</v>
      </c>
      <c r="C26" s="231"/>
      <c r="D26" s="232">
        <v>1.7</v>
      </c>
      <c r="E26" s="230"/>
      <c r="F26" s="236">
        <v>0.159</v>
      </c>
      <c r="G26" s="231">
        <v>21</v>
      </c>
      <c r="H26" s="232"/>
      <c r="I26" s="230"/>
      <c r="J26" s="236">
        <v>0.2795</v>
      </c>
      <c r="K26" s="231"/>
      <c r="L26" s="232">
        <v>7.1</v>
      </c>
      <c r="M26" s="230" t="s">
        <v>185</v>
      </c>
      <c r="N26" s="236">
        <v>0.5</v>
      </c>
      <c r="O26" s="231"/>
      <c r="P26" s="232"/>
      <c r="Q26" s="230"/>
      <c r="R26" s="236">
        <v>1.122</v>
      </c>
      <c r="S26" s="233">
        <v>28.5</v>
      </c>
      <c r="T26" s="223"/>
    </row>
    <row r="27" spans="1:20" ht="9" customHeight="1">
      <c r="A27" s="230"/>
      <c r="B27" s="236">
        <v>0.067</v>
      </c>
      <c r="C27" s="231">
        <v>51</v>
      </c>
      <c r="D27" s="232"/>
      <c r="E27" s="230"/>
      <c r="F27" s="236">
        <v>0.161</v>
      </c>
      <c r="G27" s="231">
        <v>20</v>
      </c>
      <c r="H27" s="232"/>
      <c r="I27" s="230"/>
      <c r="J27" s="236">
        <v>0.281</v>
      </c>
      <c r="K27" s="231" t="s">
        <v>186</v>
      </c>
      <c r="L27" s="232"/>
      <c r="M27" s="230"/>
      <c r="N27" s="236">
        <v>0.5118</v>
      </c>
      <c r="O27" s="231"/>
      <c r="P27" s="232">
        <v>13</v>
      </c>
      <c r="Q27" s="230" t="s">
        <v>187</v>
      </c>
      <c r="R27" s="236">
        <v>1.125</v>
      </c>
      <c r="S27" s="233"/>
      <c r="T27" s="223"/>
    </row>
    <row r="28" spans="1:20" ht="9" customHeight="1">
      <c r="A28" s="230"/>
      <c r="B28" s="236">
        <v>0.0689</v>
      </c>
      <c r="C28" s="231"/>
      <c r="D28" s="232">
        <v>1.75</v>
      </c>
      <c r="E28" s="230"/>
      <c r="F28" s="236">
        <v>0.1614</v>
      </c>
      <c r="G28" s="231"/>
      <c r="H28" s="232">
        <v>4.1</v>
      </c>
      <c r="I28" s="230" t="s">
        <v>188</v>
      </c>
      <c r="J28" s="236">
        <v>0.2812</v>
      </c>
      <c r="K28" s="231"/>
      <c r="L28" s="232"/>
      <c r="M28" s="230" t="s">
        <v>189</v>
      </c>
      <c r="N28" s="236">
        <v>0.5156</v>
      </c>
      <c r="O28" s="231"/>
      <c r="P28" s="232"/>
      <c r="Q28" s="230" t="s">
        <v>190</v>
      </c>
      <c r="R28" s="236">
        <v>1.1406</v>
      </c>
      <c r="S28" s="233"/>
      <c r="T28" s="223"/>
    </row>
    <row r="29" spans="1:20" ht="9" customHeight="1">
      <c r="A29" s="230"/>
      <c r="B29" s="236">
        <v>0.07</v>
      </c>
      <c r="C29" s="231">
        <v>50</v>
      </c>
      <c r="D29" s="232"/>
      <c r="E29" s="230"/>
      <c r="F29" s="236">
        <v>0.1654</v>
      </c>
      <c r="G29" s="231"/>
      <c r="H29" s="232">
        <v>4.2</v>
      </c>
      <c r="I29" s="230"/>
      <c r="J29" s="236">
        <v>0.28350000000000003</v>
      </c>
      <c r="K29" s="231"/>
      <c r="L29" s="232">
        <v>7.2</v>
      </c>
      <c r="M29" s="230" t="s">
        <v>191</v>
      </c>
      <c r="N29" s="236">
        <v>0.5312</v>
      </c>
      <c r="O29" s="231"/>
      <c r="P29" s="232"/>
      <c r="Q29" s="230"/>
      <c r="R29" s="236">
        <v>1.1417</v>
      </c>
      <c r="S29" s="233">
        <v>29</v>
      </c>
      <c r="T29" s="223"/>
    </row>
    <row r="30" spans="1:20" ht="9" customHeight="1">
      <c r="A30" s="230"/>
      <c r="B30" s="236">
        <v>0.0709</v>
      </c>
      <c r="C30" s="231"/>
      <c r="D30" s="232">
        <v>1.8</v>
      </c>
      <c r="E30" s="230"/>
      <c r="F30" s="236">
        <v>0.166</v>
      </c>
      <c r="G30" s="231">
        <v>19</v>
      </c>
      <c r="H30" s="232"/>
      <c r="I30" s="230"/>
      <c r="J30" s="236">
        <v>0.2854</v>
      </c>
      <c r="K30" s="231"/>
      <c r="L30" s="232">
        <v>7.25</v>
      </c>
      <c r="M30" s="230"/>
      <c r="N30" s="236">
        <v>0.5315</v>
      </c>
      <c r="O30" s="231"/>
      <c r="P30" s="232">
        <v>13.5</v>
      </c>
      <c r="Q30" s="230" t="s">
        <v>192</v>
      </c>
      <c r="R30" s="236">
        <v>1.1562</v>
      </c>
      <c r="S30" s="233"/>
      <c r="T30" s="223"/>
    </row>
    <row r="31" spans="1:20" ht="9" customHeight="1">
      <c r="A31" s="230"/>
      <c r="B31" s="236">
        <v>0.0728</v>
      </c>
      <c r="C31" s="231"/>
      <c r="D31" s="232">
        <v>1.85</v>
      </c>
      <c r="E31" s="230"/>
      <c r="F31" s="236">
        <v>0.1673</v>
      </c>
      <c r="G31" s="231"/>
      <c r="H31" s="232">
        <v>4.25</v>
      </c>
      <c r="I31" s="230"/>
      <c r="J31" s="236">
        <v>0.2874</v>
      </c>
      <c r="K31" s="231"/>
      <c r="L31" s="232">
        <v>7.3</v>
      </c>
      <c r="M31" s="230" t="s">
        <v>193</v>
      </c>
      <c r="N31" s="236">
        <v>0.5469</v>
      </c>
      <c r="O31" s="231"/>
      <c r="P31" s="232"/>
      <c r="Q31" s="230"/>
      <c r="R31" s="236">
        <v>1.1614</v>
      </c>
      <c r="S31" s="233">
        <v>29.5</v>
      </c>
      <c r="T31" s="223"/>
    </row>
    <row r="32" spans="1:20" ht="9" customHeight="1">
      <c r="A32" s="230"/>
      <c r="B32" s="236">
        <v>0.073</v>
      </c>
      <c r="C32" s="231">
        <v>49</v>
      </c>
      <c r="D32" s="232"/>
      <c r="E32" s="230"/>
      <c r="F32" s="236">
        <v>0.1693</v>
      </c>
      <c r="G32" s="231"/>
      <c r="H32" s="232">
        <v>4.3</v>
      </c>
      <c r="I32" s="230"/>
      <c r="J32" s="236">
        <v>0.29</v>
      </c>
      <c r="K32" s="231" t="s">
        <v>194</v>
      </c>
      <c r="L32" s="232"/>
      <c r="M32" s="230"/>
      <c r="N32" s="236">
        <v>0.5512</v>
      </c>
      <c r="O32" s="231"/>
      <c r="P32" s="232">
        <v>14</v>
      </c>
      <c r="Q32" s="230" t="s">
        <v>195</v>
      </c>
      <c r="R32" s="236">
        <v>1.1719</v>
      </c>
      <c r="S32" s="233"/>
      <c r="T32" s="223"/>
    </row>
    <row r="33" spans="1:20" ht="9" customHeight="1">
      <c r="A33" s="230"/>
      <c r="B33" s="236">
        <v>0.0748</v>
      </c>
      <c r="C33" s="231"/>
      <c r="D33" s="232">
        <v>1.9</v>
      </c>
      <c r="E33" s="230"/>
      <c r="F33" s="236">
        <v>0.1695</v>
      </c>
      <c r="G33" s="231">
        <v>18</v>
      </c>
      <c r="H33" s="232"/>
      <c r="I33" s="230"/>
      <c r="J33" s="236">
        <v>0.2913</v>
      </c>
      <c r="K33" s="231"/>
      <c r="L33" s="232">
        <v>7.4</v>
      </c>
      <c r="M33" s="230" t="s">
        <v>196</v>
      </c>
      <c r="N33" s="236">
        <v>0.5625</v>
      </c>
      <c r="O33" s="231"/>
      <c r="P33" s="232"/>
      <c r="Q33" s="230"/>
      <c r="R33" s="236">
        <v>1.1811</v>
      </c>
      <c r="S33" s="233">
        <v>30</v>
      </c>
      <c r="T33" s="223"/>
    </row>
    <row r="34" spans="1:20" ht="9" customHeight="1">
      <c r="A34" s="230"/>
      <c r="B34" s="236">
        <v>0.076</v>
      </c>
      <c r="C34" s="231">
        <v>48</v>
      </c>
      <c r="D34" s="232"/>
      <c r="E34" s="230" t="s">
        <v>197</v>
      </c>
      <c r="F34" s="236">
        <v>0.1719</v>
      </c>
      <c r="G34" s="231"/>
      <c r="H34" s="232"/>
      <c r="I34" s="230"/>
      <c r="J34" s="236">
        <v>0.295</v>
      </c>
      <c r="K34" s="231" t="s">
        <v>198</v>
      </c>
      <c r="L34" s="232"/>
      <c r="M34" s="230"/>
      <c r="N34" s="236">
        <v>0.5709</v>
      </c>
      <c r="O34" s="231"/>
      <c r="P34" s="232">
        <v>14.5</v>
      </c>
      <c r="Q34" s="230" t="s">
        <v>199</v>
      </c>
      <c r="R34" s="236">
        <v>1.1875</v>
      </c>
      <c r="S34" s="233"/>
      <c r="T34" s="223"/>
    </row>
    <row r="35" spans="1:20" ht="9" customHeight="1">
      <c r="A35" s="230"/>
      <c r="B35" s="236">
        <v>0.07680000000000001</v>
      </c>
      <c r="C35" s="231"/>
      <c r="D35" s="232">
        <v>1.95</v>
      </c>
      <c r="E35" s="230"/>
      <c r="F35" s="236">
        <v>0.17300000000000001</v>
      </c>
      <c r="G35" s="231">
        <v>17</v>
      </c>
      <c r="H35" s="232"/>
      <c r="I35" s="230"/>
      <c r="J35" s="236">
        <v>0.2953</v>
      </c>
      <c r="K35" s="231"/>
      <c r="L35" s="232">
        <v>7.5</v>
      </c>
      <c r="M35" s="230" t="s">
        <v>200</v>
      </c>
      <c r="N35" s="236">
        <v>0.5781</v>
      </c>
      <c r="O35" s="231"/>
      <c r="P35" s="232"/>
      <c r="Q35" s="230"/>
      <c r="R35" s="236">
        <v>1.2008</v>
      </c>
      <c r="S35" s="233">
        <v>30.5</v>
      </c>
      <c r="T35" s="223"/>
    </row>
    <row r="36" spans="1:20" ht="9" customHeight="1">
      <c r="A36" s="230" t="s">
        <v>201</v>
      </c>
      <c r="B36" s="236">
        <v>0.0781</v>
      </c>
      <c r="C36" s="231"/>
      <c r="D36" s="232"/>
      <c r="E36" s="230"/>
      <c r="F36" s="236">
        <v>0.1732</v>
      </c>
      <c r="G36" s="231"/>
      <c r="H36" s="232">
        <v>4.4</v>
      </c>
      <c r="I36" s="230" t="s">
        <v>202</v>
      </c>
      <c r="J36" s="236">
        <v>0.2969</v>
      </c>
      <c r="K36" s="231"/>
      <c r="L36" s="232"/>
      <c r="M36" s="230"/>
      <c r="N36" s="236">
        <v>0.5906</v>
      </c>
      <c r="O36" s="231"/>
      <c r="P36" s="232">
        <v>15</v>
      </c>
      <c r="Q36" s="230" t="s">
        <v>203</v>
      </c>
      <c r="R36" s="236">
        <v>1.2031</v>
      </c>
      <c r="S36" s="233"/>
      <c r="T36" s="223"/>
    </row>
    <row r="37" spans="1:20" ht="9" customHeight="1">
      <c r="A37" s="230"/>
      <c r="B37" s="236">
        <v>0.0785</v>
      </c>
      <c r="C37" s="231">
        <v>47</v>
      </c>
      <c r="D37" s="232"/>
      <c r="E37" s="230"/>
      <c r="F37" s="236">
        <v>0.177</v>
      </c>
      <c r="G37" s="231">
        <v>16</v>
      </c>
      <c r="H37" s="232"/>
      <c r="I37" s="230"/>
      <c r="J37" s="236">
        <v>0.2992</v>
      </c>
      <c r="K37" s="231"/>
      <c r="L37" s="232">
        <v>7.6</v>
      </c>
      <c r="M37" s="230" t="s">
        <v>204</v>
      </c>
      <c r="N37" s="236">
        <v>0.5938</v>
      </c>
      <c r="O37" s="231"/>
      <c r="P37" s="232"/>
      <c r="Q37" s="230" t="s">
        <v>205</v>
      </c>
      <c r="R37" s="236">
        <v>1.2188</v>
      </c>
      <c r="S37" s="233"/>
      <c r="T37" s="223"/>
    </row>
    <row r="38" spans="1:20" ht="9" customHeight="1">
      <c r="A38" s="230"/>
      <c r="B38" s="236">
        <v>0.0787</v>
      </c>
      <c r="C38" s="231"/>
      <c r="D38" s="232">
        <v>2</v>
      </c>
      <c r="E38" s="230"/>
      <c r="F38" s="236">
        <v>0.1772</v>
      </c>
      <c r="G38" s="231"/>
      <c r="H38" s="232">
        <v>4.5</v>
      </c>
      <c r="I38" s="230"/>
      <c r="J38" s="236">
        <v>0.302</v>
      </c>
      <c r="K38" s="231" t="s">
        <v>206</v>
      </c>
      <c r="L38" s="232"/>
      <c r="M38" s="230" t="s">
        <v>207</v>
      </c>
      <c r="N38" s="236">
        <v>0.6094</v>
      </c>
      <c r="O38" s="231"/>
      <c r="P38" s="232"/>
      <c r="Q38" s="230"/>
      <c r="R38" s="236">
        <v>1.2205</v>
      </c>
      <c r="S38" s="233">
        <v>31</v>
      </c>
      <c r="T38" s="223"/>
    </row>
    <row r="39" spans="1:20" ht="9" customHeight="1">
      <c r="A39" s="230"/>
      <c r="B39" s="236">
        <v>0.08070000000000001</v>
      </c>
      <c r="C39" s="231"/>
      <c r="D39" s="232">
        <v>2.05</v>
      </c>
      <c r="E39" s="230"/>
      <c r="F39" s="236">
        <v>0.18</v>
      </c>
      <c r="G39" s="231">
        <v>15</v>
      </c>
      <c r="H39" s="232"/>
      <c r="I39" s="230"/>
      <c r="J39" s="236">
        <v>0.3031</v>
      </c>
      <c r="K39" s="231"/>
      <c r="L39" s="232">
        <v>7.7</v>
      </c>
      <c r="M39" s="230"/>
      <c r="N39" s="236">
        <v>0.6102</v>
      </c>
      <c r="O39" s="231"/>
      <c r="P39" s="232">
        <v>15.5</v>
      </c>
      <c r="Q39" s="230" t="s">
        <v>208</v>
      </c>
      <c r="R39" s="236">
        <v>1.2344</v>
      </c>
      <c r="S39" s="233"/>
      <c r="T39" s="223"/>
    </row>
    <row r="40" spans="1:20" ht="9" customHeight="1">
      <c r="A40" s="230"/>
      <c r="B40" s="236">
        <v>0.081</v>
      </c>
      <c r="C40" s="231">
        <v>46</v>
      </c>
      <c r="D40" s="232"/>
      <c r="E40" s="230"/>
      <c r="F40" s="236">
        <v>0.1811</v>
      </c>
      <c r="G40" s="231"/>
      <c r="H40" s="232">
        <v>4.6</v>
      </c>
      <c r="I40" s="230"/>
      <c r="J40" s="236">
        <v>0.3051</v>
      </c>
      <c r="K40" s="231"/>
      <c r="L40" s="232">
        <v>7.75</v>
      </c>
      <c r="M40" s="230" t="s">
        <v>209</v>
      </c>
      <c r="N40" s="236">
        <v>0.625</v>
      </c>
      <c r="O40" s="231"/>
      <c r="P40" s="232"/>
      <c r="Q40" s="230"/>
      <c r="R40" s="236">
        <v>1.2402</v>
      </c>
      <c r="S40" s="233">
        <v>31.5</v>
      </c>
      <c r="T40" s="223"/>
    </row>
    <row r="41" spans="1:20" ht="9" customHeight="1">
      <c r="A41" s="230"/>
      <c r="B41" s="236">
        <v>0.082</v>
      </c>
      <c r="C41" s="231">
        <v>45</v>
      </c>
      <c r="D41" s="232"/>
      <c r="E41" s="230"/>
      <c r="F41" s="236">
        <v>0.182</v>
      </c>
      <c r="G41" s="231">
        <v>14</v>
      </c>
      <c r="H41" s="232"/>
      <c r="I41" s="230"/>
      <c r="J41" s="236">
        <v>0.3071</v>
      </c>
      <c r="K41" s="231"/>
      <c r="L41" s="232">
        <v>7.8</v>
      </c>
      <c r="M41" s="230"/>
      <c r="N41" s="236">
        <v>0.6299</v>
      </c>
      <c r="O41" s="231"/>
      <c r="P41" s="232">
        <v>16</v>
      </c>
      <c r="Q41" s="230" t="s">
        <v>210</v>
      </c>
      <c r="R41" s="236">
        <v>1.25</v>
      </c>
      <c r="S41" s="233"/>
      <c r="T41" s="223"/>
    </row>
    <row r="42" spans="1:20" ht="9" customHeight="1">
      <c r="A42" s="230"/>
      <c r="B42" s="236">
        <v>0.08270000000000001</v>
      </c>
      <c r="C42" s="231"/>
      <c r="D42" s="232">
        <v>2.1</v>
      </c>
      <c r="E42" s="230"/>
      <c r="F42" s="236">
        <v>0.185</v>
      </c>
      <c r="G42" s="231">
        <v>13</v>
      </c>
      <c r="H42" s="232">
        <v>4.7</v>
      </c>
      <c r="I42" s="230"/>
      <c r="J42" s="236">
        <v>0.311</v>
      </c>
      <c r="K42" s="231"/>
      <c r="L42" s="232">
        <v>7.9</v>
      </c>
      <c r="M42" s="230" t="s">
        <v>211</v>
      </c>
      <c r="N42" s="236">
        <v>0.6406</v>
      </c>
      <c r="O42" s="231"/>
      <c r="P42" s="232"/>
      <c r="Q42" s="230"/>
      <c r="R42" s="236">
        <v>1.2598</v>
      </c>
      <c r="S42" s="233">
        <v>32</v>
      </c>
      <c r="T42" s="223"/>
    </row>
    <row r="43" spans="1:20" ht="9" customHeight="1">
      <c r="A43" s="230"/>
      <c r="B43" s="236">
        <v>0.08460000000000001</v>
      </c>
      <c r="C43" s="231"/>
      <c r="D43" s="232">
        <v>2.15</v>
      </c>
      <c r="E43" s="230"/>
      <c r="F43" s="236">
        <v>0.187</v>
      </c>
      <c r="G43" s="231"/>
      <c r="H43" s="232">
        <v>4.75</v>
      </c>
      <c r="I43" s="230" t="s">
        <v>212</v>
      </c>
      <c r="J43" s="236">
        <v>0.3125</v>
      </c>
      <c r="K43" s="231"/>
      <c r="L43" s="232"/>
      <c r="M43" s="230"/>
      <c r="N43" s="236">
        <v>0.6496</v>
      </c>
      <c r="O43" s="231"/>
      <c r="P43" s="232">
        <v>16.5</v>
      </c>
      <c r="Q43" s="230" t="s">
        <v>213</v>
      </c>
      <c r="R43" s="236">
        <v>1.2656</v>
      </c>
      <c r="S43" s="233"/>
      <c r="T43" s="223"/>
    </row>
    <row r="44" spans="1:20" ht="9" customHeight="1">
      <c r="A44" s="230"/>
      <c r="B44" s="236">
        <v>0.08600000000000001</v>
      </c>
      <c r="C44" s="231">
        <v>44</v>
      </c>
      <c r="D44" s="232"/>
      <c r="E44" s="230" t="s">
        <v>214</v>
      </c>
      <c r="F44" s="236">
        <v>0.1875</v>
      </c>
      <c r="G44" s="231"/>
      <c r="H44" s="232"/>
      <c r="I44" s="230"/>
      <c r="J44" s="236">
        <v>0.315</v>
      </c>
      <c r="K44" s="231"/>
      <c r="L44" s="232">
        <v>8</v>
      </c>
      <c r="M44" s="230" t="s">
        <v>215</v>
      </c>
      <c r="N44" s="236">
        <v>0.6562</v>
      </c>
      <c r="O44" s="231"/>
      <c r="P44" s="232"/>
      <c r="Q44" s="230"/>
      <c r="R44" s="236">
        <v>1.2795</v>
      </c>
      <c r="S44" s="233">
        <v>32.5</v>
      </c>
      <c r="T44" s="223"/>
    </row>
    <row r="45" spans="1:20" ht="9" customHeight="1">
      <c r="A45" s="230"/>
      <c r="B45" s="236">
        <v>0.08660000000000001</v>
      </c>
      <c r="C45" s="231"/>
      <c r="D45" s="232">
        <v>2.2</v>
      </c>
      <c r="E45" s="230"/>
      <c r="F45" s="236">
        <v>0.189</v>
      </c>
      <c r="G45" s="231">
        <v>12</v>
      </c>
      <c r="H45" s="232">
        <v>4.8</v>
      </c>
      <c r="I45" s="230"/>
      <c r="J45" s="236">
        <v>0.316</v>
      </c>
      <c r="K45" s="231" t="s">
        <v>216</v>
      </c>
      <c r="L45" s="232"/>
      <c r="M45" s="230"/>
      <c r="N45" s="236">
        <v>0.6693</v>
      </c>
      <c r="O45" s="231"/>
      <c r="P45" s="232">
        <v>17</v>
      </c>
      <c r="Q45" s="230" t="s">
        <v>217</v>
      </c>
      <c r="R45" s="236">
        <v>1.2812</v>
      </c>
      <c r="S45" s="233"/>
      <c r="T45" s="223"/>
    </row>
    <row r="46" spans="1:20" ht="9" customHeight="1">
      <c r="A46" s="230"/>
      <c r="B46" s="236">
        <v>0.0886</v>
      </c>
      <c r="C46" s="231"/>
      <c r="D46" s="232">
        <v>2.25</v>
      </c>
      <c r="E46" s="230"/>
      <c r="F46" s="236">
        <v>0.191</v>
      </c>
      <c r="G46" s="231">
        <v>11</v>
      </c>
      <c r="H46" s="232"/>
      <c r="I46" s="230"/>
      <c r="J46" s="236">
        <v>0.3189</v>
      </c>
      <c r="K46" s="231"/>
      <c r="L46" s="232">
        <v>8.1</v>
      </c>
      <c r="M46" s="230" t="s">
        <v>218</v>
      </c>
      <c r="N46" s="236">
        <v>0.6719</v>
      </c>
      <c r="O46" s="231"/>
      <c r="P46" s="232"/>
      <c r="Q46" s="230" t="s">
        <v>219</v>
      </c>
      <c r="R46" s="236">
        <v>1.2969</v>
      </c>
      <c r="S46" s="233"/>
      <c r="T46" s="223"/>
    </row>
    <row r="47" spans="1:20" ht="9" customHeight="1">
      <c r="A47" s="230"/>
      <c r="B47" s="236">
        <v>0.089</v>
      </c>
      <c r="C47" s="231">
        <v>43</v>
      </c>
      <c r="D47" s="232"/>
      <c r="E47" s="230"/>
      <c r="F47" s="236">
        <v>0.1929</v>
      </c>
      <c r="G47" s="231"/>
      <c r="H47" s="232">
        <v>4.9</v>
      </c>
      <c r="I47" s="230"/>
      <c r="J47" s="236">
        <v>0.3228</v>
      </c>
      <c r="K47" s="231"/>
      <c r="L47" s="232">
        <v>8.2</v>
      </c>
      <c r="M47" s="230" t="s">
        <v>220</v>
      </c>
      <c r="N47" s="236">
        <v>0.6875</v>
      </c>
      <c r="O47" s="231"/>
      <c r="P47" s="232"/>
      <c r="Q47" s="230"/>
      <c r="R47" s="236">
        <v>1.2992</v>
      </c>
      <c r="S47" s="233">
        <v>33</v>
      </c>
      <c r="T47" s="223"/>
    </row>
    <row r="48" spans="1:20" ht="9" customHeight="1">
      <c r="A48" s="230"/>
      <c r="B48" s="236">
        <v>0.0906</v>
      </c>
      <c r="C48" s="231"/>
      <c r="D48" s="232">
        <v>2.3</v>
      </c>
      <c r="E48" s="230"/>
      <c r="F48" s="236">
        <v>0.1935</v>
      </c>
      <c r="G48" s="231">
        <v>10</v>
      </c>
      <c r="H48" s="232"/>
      <c r="I48" s="230"/>
      <c r="J48" s="236">
        <v>0.323</v>
      </c>
      <c r="K48" s="231" t="s">
        <v>221</v>
      </c>
      <c r="L48" s="232"/>
      <c r="M48" s="230"/>
      <c r="N48" s="236">
        <v>0.6890000000000001</v>
      </c>
      <c r="O48" s="231"/>
      <c r="P48" s="232">
        <v>17.5</v>
      </c>
      <c r="Q48" s="230" t="s">
        <v>222</v>
      </c>
      <c r="R48" s="236">
        <v>1.3125</v>
      </c>
      <c r="S48" s="233"/>
      <c r="T48" s="223"/>
    </row>
    <row r="49" spans="1:20" ht="9" customHeight="1">
      <c r="A49" s="230"/>
      <c r="B49" s="236">
        <v>0.0925</v>
      </c>
      <c r="C49" s="231"/>
      <c r="D49" s="232">
        <v>2.35</v>
      </c>
      <c r="E49" s="230"/>
      <c r="F49" s="236">
        <v>0.196</v>
      </c>
      <c r="G49" s="231">
        <v>9</v>
      </c>
      <c r="H49" s="232"/>
      <c r="I49" s="230"/>
      <c r="J49" s="236">
        <v>0.3248</v>
      </c>
      <c r="K49" s="231"/>
      <c r="L49" s="232">
        <v>8.25</v>
      </c>
      <c r="M49" s="230" t="s">
        <v>223</v>
      </c>
      <c r="N49" s="236">
        <v>0.7031</v>
      </c>
      <c r="O49" s="231"/>
      <c r="P49" s="232"/>
      <c r="Q49" s="230"/>
      <c r="R49" s="236">
        <v>1.3189</v>
      </c>
      <c r="S49" s="233">
        <v>33.5</v>
      </c>
      <c r="T49" s="223"/>
    </row>
    <row r="50" spans="1:20" ht="9" customHeight="1">
      <c r="A50" s="230"/>
      <c r="B50" s="236">
        <v>0.0935</v>
      </c>
      <c r="C50" s="231">
        <v>42</v>
      </c>
      <c r="D50" s="232"/>
      <c r="E50" s="230"/>
      <c r="F50" s="236">
        <v>0.1969</v>
      </c>
      <c r="G50" s="231"/>
      <c r="H50" s="232">
        <v>5</v>
      </c>
      <c r="I50" s="230"/>
      <c r="J50" s="236">
        <v>0.3268</v>
      </c>
      <c r="K50" s="231"/>
      <c r="L50" s="232">
        <v>8.3</v>
      </c>
      <c r="M50" s="230"/>
      <c r="N50" s="236">
        <v>0.7087</v>
      </c>
      <c r="O50" s="231"/>
      <c r="P50" s="232">
        <v>18</v>
      </c>
      <c r="Q50" s="230" t="s">
        <v>224</v>
      </c>
      <c r="R50" s="236">
        <v>1.3281</v>
      </c>
      <c r="S50" s="233"/>
      <c r="T50" s="223"/>
    </row>
    <row r="51" spans="1:20" ht="9" customHeight="1">
      <c r="A51" s="230" t="s">
        <v>225</v>
      </c>
      <c r="B51" s="236">
        <v>0.09380000000000001</v>
      </c>
      <c r="C51" s="231"/>
      <c r="D51" s="232"/>
      <c r="E51" s="230"/>
      <c r="F51" s="236">
        <v>0.199</v>
      </c>
      <c r="G51" s="231">
        <v>8</v>
      </c>
      <c r="H51" s="232"/>
      <c r="I51" s="230" t="s">
        <v>226</v>
      </c>
      <c r="J51" s="236">
        <v>0.3281</v>
      </c>
      <c r="K51" s="231"/>
      <c r="L51" s="232"/>
      <c r="M51" s="230" t="s">
        <v>918</v>
      </c>
      <c r="N51" s="236">
        <v>0.7188</v>
      </c>
      <c r="O51" s="231"/>
      <c r="P51" s="232"/>
      <c r="Q51" s="230"/>
      <c r="R51" s="236">
        <v>1.3386</v>
      </c>
      <c r="S51" s="233">
        <v>34</v>
      </c>
      <c r="T51" s="223"/>
    </row>
    <row r="52" spans="1:20" ht="9" customHeight="1">
      <c r="A52" s="230"/>
      <c r="B52" s="236">
        <v>0.0945</v>
      </c>
      <c r="C52" s="231"/>
      <c r="D52" s="232">
        <v>2.4</v>
      </c>
      <c r="E52" s="230"/>
      <c r="F52" s="236">
        <v>0.2008</v>
      </c>
      <c r="G52" s="231"/>
      <c r="H52" s="232">
        <v>5.1</v>
      </c>
      <c r="I52" s="230"/>
      <c r="J52" s="236">
        <v>0.3307</v>
      </c>
      <c r="K52" s="231"/>
      <c r="L52" s="232">
        <v>8.4</v>
      </c>
      <c r="M52" s="230"/>
      <c r="N52" s="236">
        <v>0.7283</v>
      </c>
      <c r="O52" s="231"/>
      <c r="P52" s="232">
        <v>18.5</v>
      </c>
      <c r="Q52" s="230" t="s">
        <v>919</v>
      </c>
      <c r="R52" s="236">
        <v>1.3438</v>
      </c>
      <c r="S52" s="233"/>
      <c r="T52" s="223"/>
    </row>
    <row r="53" spans="1:20" ht="9" customHeight="1">
      <c r="A53" s="230"/>
      <c r="B53" s="236">
        <v>0.096</v>
      </c>
      <c r="C53" s="231">
        <v>41</v>
      </c>
      <c r="D53" s="232"/>
      <c r="E53" s="230"/>
      <c r="F53" s="236">
        <v>0.201</v>
      </c>
      <c r="G53" s="231">
        <v>7</v>
      </c>
      <c r="H53" s="232"/>
      <c r="I53" s="230"/>
      <c r="J53" s="236">
        <v>0.332</v>
      </c>
      <c r="K53" s="231" t="s">
        <v>920</v>
      </c>
      <c r="L53" s="232"/>
      <c r="M53" s="230" t="s">
        <v>921</v>
      </c>
      <c r="N53" s="236">
        <v>0.7344</v>
      </c>
      <c r="O53" s="231"/>
      <c r="P53" s="232"/>
      <c r="Q53" s="230"/>
      <c r="R53" s="236">
        <v>1.3583</v>
      </c>
      <c r="S53" s="233">
        <v>34.5</v>
      </c>
      <c r="T53" s="223"/>
    </row>
    <row r="54" spans="1:20" ht="9" customHeight="1">
      <c r="A54" s="230"/>
      <c r="B54" s="236">
        <v>0.0965</v>
      </c>
      <c r="C54" s="231"/>
      <c r="D54" s="232">
        <v>2.45</v>
      </c>
      <c r="E54" s="230" t="s">
        <v>922</v>
      </c>
      <c r="F54" s="236">
        <v>0.2031</v>
      </c>
      <c r="G54" s="231"/>
      <c r="H54" s="232"/>
      <c r="I54" s="230"/>
      <c r="J54" s="236">
        <v>0.3346</v>
      </c>
      <c r="K54" s="231"/>
      <c r="L54" s="232">
        <v>8.5</v>
      </c>
      <c r="M54" s="230"/>
      <c r="N54" s="236">
        <v>0.748</v>
      </c>
      <c r="O54" s="231"/>
      <c r="P54" s="232">
        <v>19</v>
      </c>
      <c r="Q54" s="230" t="s">
        <v>923</v>
      </c>
      <c r="R54" s="236">
        <v>1.3594</v>
      </c>
      <c r="S54" s="233"/>
      <c r="T54" s="223"/>
    </row>
    <row r="55" spans="1:20" ht="9" customHeight="1">
      <c r="A55" s="230"/>
      <c r="B55" s="236">
        <v>0.098</v>
      </c>
      <c r="C55" s="231">
        <v>40</v>
      </c>
      <c r="D55" s="232"/>
      <c r="E55" s="230"/>
      <c r="F55" s="236">
        <v>0.20400000000000001</v>
      </c>
      <c r="G55" s="231">
        <v>6</v>
      </c>
      <c r="H55" s="232"/>
      <c r="I55" s="230"/>
      <c r="J55" s="236">
        <v>0.3386</v>
      </c>
      <c r="K55" s="231"/>
      <c r="L55" s="232">
        <v>8.6</v>
      </c>
      <c r="M55" s="230" t="s">
        <v>924</v>
      </c>
      <c r="N55" s="236">
        <v>0.75</v>
      </c>
      <c r="O55" s="231"/>
      <c r="P55" s="232"/>
      <c r="Q55" s="230" t="s">
        <v>925</v>
      </c>
      <c r="R55" s="236">
        <v>1.375</v>
      </c>
      <c r="S55" s="233"/>
      <c r="T55" s="223"/>
    </row>
    <row r="56" spans="1:20" ht="9" customHeight="1">
      <c r="A56" s="230"/>
      <c r="B56" s="236">
        <v>0.0984</v>
      </c>
      <c r="C56" s="231"/>
      <c r="D56" s="232">
        <v>2.5</v>
      </c>
      <c r="E56" s="230"/>
      <c r="F56" s="236">
        <v>0.2047</v>
      </c>
      <c r="G56" s="231"/>
      <c r="H56" s="232">
        <v>5.2</v>
      </c>
      <c r="I56" s="230"/>
      <c r="J56" s="236">
        <v>0.339</v>
      </c>
      <c r="K56" s="231" t="s">
        <v>926</v>
      </c>
      <c r="L56" s="232"/>
      <c r="M56" s="230" t="s">
        <v>927</v>
      </c>
      <c r="N56" s="236">
        <v>0.7656</v>
      </c>
      <c r="O56" s="231"/>
      <c r="P56" s="232"/>
      <c r="Q56" s="230"/>
      <c r="R56" s="236">
        <v>1.378</v>
      </c>
      <c r="S56" s="233">
        <v>35</v>
      </c>
      <c r="T56" s="223"/>
    </row>
    <row r="57" spans="1:20" ht="9" customHeight="1">
      <c r="A57" s="230"/>
      <c r="B57" s="236">
        <v>0.0995</v>
      </c>
      <c r="C57" s="231">
        <v>39</v>
      </c>
      <c r="D57" s="232"/>
      <c r="E57" s="230"/>
      <c r="F57" s="236">
        <v>0.20550000000000002</v>
      </c>
      <c r="G57" s="231">
        <v>5</v>
      </c>
      <c r="H57" s="232"/>
      <c r="I57" s="230"/>
      <c r="J57" s="236">
        <v>0.3425</v>
      </c>
      <c r="K57" s="231"/>
      <c r="L57" s="232">
        <v>8.7</v>
      </c>
      <c r="M57" s="230"/>
      <c r="N57" s="236">
        <v>0.7677</v>
      </c>
      <c r="O57" s="231"/>
      <c r="P57" s="232">
        <v>19.5</v>
      </c>
      <c r="Q57" s="230" t="s">
        <v>928</v>
      </c>
      <c r="R57" s="236">
        <v>1.3906</v>
      </c>
      <c r="S57" s="233"/>
      <c r="T57" s="223"/>
    </row>
    <row r="58" spans="1:20" ht="9" customHeight="1">
      <c r="A58" s="230"/>
      <c r="B58" s="236">
        <v>0.1015</v>
      </c>
      <c r="C58" s="231">
        <v>38</v>
      </c>
      <c r="D58" s="232"/>
      <c r="E58" s="230"/>
      <c r="F58" s="236">
        <v>0.2067</v>
      </c>
      <c r="G58" s="231"/>
      <c r="H58" s="232">
        <v>5.25</v>
      </c>
      <c r="I58" s="230" t="s">
        <v>929</v>
      </c>
      <c r="J58" s="236">
        <v>0.3438</v>
      </c>
      <c r="K58" s="231"/>
      <c r="L58" s="232"/>
      <c r="M58" s="230" t="s">
        <v>930</v>
      </c>
      <c r="N58" s="236">
        <v>0.7812</v>
      </c>
      <c r="O58" s="231"/>
      <c r="P58" s="232"/>
      <c r="Q58" s="230"/>
      <c r="R58" s="236">
        <v>1.3976</v>
      </c>
      <c r="S58" s="233">
        <v>35.5</v>
      </c>
      <c r="T58" s="223"/>
    </row>
    <row r="59" spans="1:20" ht="9" customHeight="1">
      <c r="A59" s="230"/>
      <c r="B59" s="236">
        <v>0.1024</v>
      </c>
      <c r="C59" s="231"/>
      <c r="D59" s="232">
        <v>2.6</v>
      </c>
      <c r="E59" s="230"/>
      <c r="F59" s="236">
        <v>0.2087</v>
      </c>
      <c r="G59" s="231"/>
      <c r="H59" s="232">
        <v>5.3</v>
      </c>
      <c r="I59" s="230"/>
      <c r="J59" s="236">
        <v>0.34450000000000003</v>
      </c>
      <c r="K59" s="231"/>
      <c r="L59" s="232">
        <v>8.75</v>
      </c>
      <c r="M59" s="230"/>
      <c r="N59" s="236">
        <v>0.7874</v>
      </c>
      <c r="O59" s="231"/>
      <c r="P59" s="232">
        <v>20</v>
      </c>
      <c r="Q59" s="230" t="s">
        <v>931</v>
      </c>
      <c r="R59" s="236">
        <v>1.4062</v>
      </c>
      <c r="S59" s="233"/>
      <c r="T59" s="223"/>
    </row>
    <row r="60" spans="1:20" ht="9" customHeight="1">
      <c r="A60" s="230"/>
      <c r="B60" s="236">
        <v>0.10400000000000001</v>
      </c>
      <c r="C60" s="231">
        <v>37</v>
      </c>
      <c r="D60" s="232"/>
      <c r="E60" s="230"/>
      <c r="F60" s="236">
        <v>0.209</v>
      </c>
      <c r="G60" s="231">
        <v>4</v>
      </c>
      <c r="H60" s="232"/>
      <c r="I60" s="230"/>
      <c r="J60" s="236">
        <v>0.34650000000000003</v>
      </c>
      <c r="K60" s="231"/>
      <c r="L60" s="232">
        <v>8.8</v>
      </c>
      <c r="M60" s="230" t="s">
        <v>932</v>
      </c>
      <c r="N60" s="236">
        <v>0.7969</v>
      </c>
      <c r="O60" s="231"/>
      <c r="P60" s="232"/>
      <c r="Q60" s="230"/>
      <c r="R60" s="236">
        <v>1.4173</v>
      </c>
      <c r="S60" s="233">
        <v>36</v>
      </c>
      <c r="T60" s="223"/>
    </row>
    <row r="61" spans="1:20" ht="9" customHeight="1">
      <c r="A61" s="230"/>
      <c r="B61" s="236">
        <v>0.1063</v>
      </c>
      <c r="C61" s="231"/>
      <c r="D61" s="232">
        <v>2.7</v>
      </c>
      <c r="E61" s="230"/>
      <c r="F61" s="236">
        <v>0.2126</v>
      </c>
      <c r="G61" s="231"/>
      <c r="H61" s="232">
        <v>5.4</v>
      </c>
      <c r="I61" s="230"/>
      <c r="J61" s="236">
        <v>0.34800000000000003</v>
      </c>
      <c r="K61" s="231" t="s">
        <v>933</v>
      </c>
      <c r="L61" s="232"/>
      <c r="M61" s="230"/>
      <c r="N61" s="236">
        <v>0.8071</v>
      </c>
      <c r="O61" s="231"/>
      <c r="P61" s="232">
        <v>20.5</v>
      </c>
      <c r="Q61" s="230" t="s">
        <v>934</v>
      </c>
      <c r="R61" s="236">
        <v>1.4219</v>
      </c>
      <c r="S61" s="233"/>
      <c r="T61" s="223"/>
    </row>
    <row r="62" spans="1:20" ht="9" customHeight="1">
      <c r="A62" s="230"/>
      <c r="B62" s="236">
        <v>0.1065</v>
      </c>
      <c r="C62" s="231">
        <v>36</v>
      </c>
      <c r="D62" s="232"/>
      <c r="E62" s="230"/>
      <c r="F62" s="236">
        <v>0.213</v>
      </c>
      <c r="G62" s="231">
        <v>3</v>
      </c>
      <c r="H62" s="232"/>
      <c r="I62" s="230"/>
      <c r="J62" s="236">
        <v>0.3504</v>
      </c>
      <c r="K62" s="231"/>
      <c r="L62" s="232">
        <v>8.9</v>
      </c>
      <c r="M62" s="230" t="s">
        <v>935</v>
      </c>
      <c r="N62" s="236">
        <v>0.8125</v>
      </c>
      <c r="O62" s="231"/>
      <c r="P62" s="232"/>
      <c r="Q62" s="230"/>
      <c r="R62" s="236">
        <v>1.437</v>
      </c>
      <c r="S62" s="233">
        <v>36.5</v>
      </c>
      <c r="T62" s="223"/>
    </row>
    <row r="63" spans="1:20" ht="9" customHeight="1">
      <c r="A63" s="230"/>
      <c r="B63" s="236">
        <v>0.1083</v>
      </c>
      <c r="C63" s="231"/>
      <c r="D63" s="232">
        <v>2.75</v>
      </c>
      <c r="E63" s="230"/>
      <c r="F63" s="236">
        <v>0.2165</v>
      </c>
      <c r="G63" s="231"/>
      <c r="H63" s="232">
        <v>5.5</v>
      </c>
      <c r="I63" s="230"/>
      <c r="J63" s="236">
        <v>0.3543</v>
      </c>
      <c r="K63" s="231"/>
      <c r="L63" s="232">
        <v>9</v>
      </c>
      <c r="M63" s="230"/>
      <c r="N63" s="236">
        <v>0.8268</v>
      </c>
      <c r="O63" s="231"/>
      <c r="P63" s="232">
        <v>21</v>
      </c>
      <c r="Q63" s="230" t="s">
        <v>936</v>
      </c>
      <c r="R63" s="236">
        <v>1.4375</v>
      </c>
      <c r="S63" s="233"/>
      <c r="T63" s="223"/>
    </row>
    <row r="64" spans="1:20" ht="9" customHeight="1">
      <c r="A64" s="230" t="s">
        <v>937</v>
      </c>
      <c r="B64" s="236">
        <v>0.1094</v>
      </c>
      <c r="C64" s="231"/>
      <c r="D64" s="232"/>
      <c r="E64" s="230" t="s">
        <v>938</v>
      </c>
      <c r="F64" s="236">
        <v>0.2188</v>
      </c>
      <c r="G64" s="231"/>
      <c r="H64" s="232"/>
      <c r="I64" s="230"/>
      <c r="J64" s="236">
        <v>0.358</v>
      </c>
      <c r="K64" s="231" t="s">
        <v>939</v>
      </c>
      <c r="L64" s="232"/>
      <c r="M64" s="230" t="s">
        <v>940</v>
      </c>
      <c r="N64" s="236">
        <v>0.8281</v>
      </c>
      <c r="O64" s="231"/>
      <c r="P64" s="232"/>
      <c r="Q64" s="230" t="s">
        <v>941</v>
      </c>
      <c r="R64" s="236">
        <v>1.4531</v>
      </c>
      <c r="S64" s="233"/>
      <c r="T64" s="223"/>
    </row>
    <row r="65" spans="1:20" ht="9" customHeight="1">
      <c r="A65" s="230"/>
      <c r="B65" s="236">
        <v>0.11</v>
      </c>
      <c r="C65" s="231">
        <v>35</v>
      </c>
      <c r="D65" s="232"/>
      <c r="E65" s="230"/>
      <c r="F65" s="236">
        <v>0.2205</v>
      </c>
      <c r="G65" s="231"/>
      <c r="H65" s="232">
        <v>5.6</v>
      </c>
      <c r="I65" s="230"/>
      <c r="J65" s="236">
        <v>0.3583</v>
      </c>
      <c r="K65" s="231"/>
      <c r="L65" s="232">
        <v>9.1</v>
      </c>
      <c r="M65" s="230" t="s">
        <v>942</v>
      </c>
      <c r="N65" s="236">
        <v>0.8438</v>
      </c>
      <c r="O65" s="231"/>
      <c r="P65" s="232"/>
      <c r="Q65" s="230"/>
      <c r="R65" s="236">
        <v>1.4567</v>
      </c>
      <c r="S65" s="233">
        <v>37</v>
      </c>
      <c r="T65" s="223"/>
    </row>
    <row r="66" spans="1:20" ht="9" customHeight="1">
      <c r="A66" s="230"/>
      <c r="B66" s="236">
        <v>0.1102</v>
      </c>
      <c r="C66" s="231"/>
      <c r="D66" s="232">
        <v>2.8</v>
      </c>
      <c r="E66" s="230"/>
      <c r="F66" s="236">
        <v>0.221</v>
      </c>
      <c r="G66" s="231">
        <v>2</v>
      </c>
      <c r="H66" s="232"/>
      <c r="I66" s="230" t="s">
        <v>943</v>
      </c>
      <c r="J66" s="236">
        <v>0.3594</v>
      </c>
      <c r="K66" s="231"/>
      <c r="L66" s="232"/>
      <c r="M66" s="230"/>
      <c r="N66" s="236">
        <v>0.8465</v>
      </c>
      <c r="O66" s="231"/>
      <c r="P66" s="232">
        <v>21.5</v>
      </c>
      <c r="Q66" s="230" t="s">
        <v>944</v>
      </c>
      <c r="R66" s="236">
        <v>1.4688</v>
      </c>
      <c r="S66" s="233"/>
      <c r="T66" s="223"/>
    </row>
    <row r="67" spans="1:20" ht="9" customHeight="1">
      <c r="A67" s="230"/>
      <c r="B67" s="236">
        <v>0.111</v>
      </c>
      <c r="C67" s="231">
        <v>34</v>
      </c>
      <c r="D67" s="232"/>
      <c r="E67" s="230"/>
      <c r="F67" s="236">
        <v>0.2244</v>
      </c>
      <c r="G67" s="231"/>
      <c r="H67" s="232">
        <v>5.7</v>
      </c>
      <c r="I67" s="230"/>
      <c r="J67" s="236">
        <v>0.3622</v>
      </c>
      <c r="K67" s="231"/>
      <c r="L67" s="232">
        <v>9.2</v>
      </c>
      <c r="M67" s="230" t="s">
        <v>945</v>
      </c>
      <c r="N67" s="236">
        <v>0.8594</v>
      </c>
      <c r="O67" s="231"/>
      <c r="P67" s="232"/>
      <c r="Q67" s="230"/>
      <c r="R67" s="236">
        <v>1.4764</v>
      </c>
      <c r="S67" s="233">
        <v>37.5</v>
      </c>
      <c r="T67" s="223"/>
    </row>
    <row r="68" spans="1:20" ht="9" customHeight="1">
      <c r="A68" s="230"/>
      <c r="B68" s="236">
        <v>0.113</v>
      </c>
      <c r="C68" s="231">
        <v>33</v>
      </c>
      <c r="D68" s="232"/>
      <c r="E68" s="230"/>
      <c r="F68" s="236">
        <v>0.2264</v>
      </c>
      <c r="G68" s="231"/>
      <c r="H68" s="232">
        <v>5.75</v>
      </c>
      <c r="I68" s="230"/>
      <c r="J68" s="236">
        <v>0.3642</v>
      </c>
      <c r="K68" s="231"/>
      <c r="L68" s="232">
        <v>9.25</v>
      </c>
      <c r="M68" s="230"/>
      <c r="N68" s="236">
        <v>0.8661</v>
      </c>
      <c r="O68" s="231"/>
      <c r="P68" s="232">
        <v>22</v>
      </c>
      <c r="Q68" s="230" t="s">
        <v>946</v>
      </c>
      <c r="R68" s="236">
        <v>1.4844</v>
      </c>
      <c r="S68" s="233"/>
      <c r="T68" s="223"/>
    </row>
    <row r="69" spans="1:20" ht="9" customHeight="1">
      <c r="A69" s="230"/>
      <c r="B69" s="236">
        <v>0.1142</v>
      </c>
      <c r="C69" s="231"/>
      <c r="D69" s="232">
        <v>2.9</v>
      </c>
      <c r="E69" s="230"/>
      <c r="F69" s="236">
        <v>0.228</v>
      </c>
      <c r="G69" s="231">
        <v>1</v>
      </c>
      <c r="H69" s="232"/>
      <c r="I69" s="230"/>
      <c r="J69" s="236">
        <v>0.3661</v>
      </c>
      <c r="K69" s="231"/>
      <c r="L69" s="232">
        <v>9.3</v>
      </c>
      <c r="M69" s="230" t="s">
        <v>947</v>
      </c>
      <c r="N69" s="236">
        <v>0.875</v>
      </c>
      <c r="O69" s="231"/>
      <c r="P69" s="232"/>
      <c r="Q69" s="230"/>
      <c r="R69" s="236">
        <v>1.4961</v>
      </c>
      <c r="S69" s="233">
        <v>38</v>
      </c>
      <c r="T69" s="223"/>
    </row>
    <row r="70" spans="1:20" ht="9" customHeight="1">
      <c r="A70" s="230"/>
      <c r="B70" s="236">
        <v>0.116</v>
      </c>
      <c r="C70" s="231">
        <v>32</v>
      </c>
      <c r="D70" s="232"/>
      <c r="E70" s="230"/>
      <c r="F70" s="236">
        <v>0.2283</v>
      </c>
      <c r="G70" s="231"/>
      <c r="H70" s="232">
        <v>5.8</v>
      </c>
      <c r="I70" s="230"/>
      <c r="J70" s="236">
        <v>0.368</v>
      </c>
      <c r="K70" s="231" t="s">
        <v>948</v>
      </c>
      <c r="L70" s="232"/>
      <c r="M70" s="230"/>
      <c r="N70" s="236">
        <v>0.8858</v>
      </c>
      <c r="O70" s="231"/>
      <c r="P70" s="232">
        <v>22.5</v>
      </c>
      <c r="Q70" s="230" t="s">
        <v>949</v>
      </c>
      <c r="R70" s="236">
        <v>1.5</v>
      </c>
      <c r="S70" s="233"/>
      <c r="T70" s="223"/>
    </row>
    <row r="71" spans="1:20" ht="9" customHeight="1">
      <c r="A71" s="230"/>
      <c r="B71" s="236">
        <v>0.1181</v>
      </c>
      <c r="C71" s="231"/>
      <c r="D71" s="232">
        <v>3</v>
      </c>
      <c r="E71" s="230"/>
      <c r="F71" s="236">
        <v>0.2323</v>
      </c>
      <c r="G71" s="231"/>
      <c r="H71" s="232">
        <v>5.9</v>
      </c>
      <c r="I71" s="230"/>
      <c r="J71" s="236">
        <v>0.3701</v>
      </c>
      <c r="K71" s="231"/>
      <c r="L71" s="232">
        <v>9.4</v>
      </c>
      <c r="M71" s="230" t="s">
        <v>950</v>
      </c>
      <c r="N71" s="236">
        <v>0.8906</v>
      </c>
      <c r="O71" s="231"/>
      <c r="P71" s="232"/>
      <c r="Q71" s="230" t="s">
        <v>951</v>
      </c>
      <c r="R71" s="238">
        <v>1.5156</v>
      </c>
      <c r="S71" s="255"/>
      <c r="T71" s="223"/>
    </row>
    <row r="72" spans="1:20" ht="9" customHeight="1" thickBot="1">
      <c r="A72" s="228"/>
      <c r="B72" s="237">
        <v>0.12</v>
      </c>
      <c r="C72" s="229">
        <v>31</v>
      </c>
      <c r="D72" s="235"/>
      <c r="E72" s="228"/>
      <c r="F72" s="237">
        <v>0.234</v>
      </c>
      <c r="G72" s="229" t="s">
        <v>952</v>
      </c>
      <c r="H72" s="235"/>
      <c r="I72" s="228"/>
      <c r="J72" s="237">
        <v>0.374</v>
      </c>
      <c r="K72" s="229"/>
      <c r="L72" s="235">
        <v>9.5</v>
      </c>
      <c r="M72" s="228"/>
      <c r="N72" s="237">
        <v>0.9055</v>
      </c>
      <c r="O72" s="229"/>
      <c r="P72" s="235">
        <v>23</v>
      </c>
      <c r="Q72" s="228"/>
      <c r="R72" s="239">
        <v>1.5157</v>
      </c>
      <c r="S72" s="256">
        <v>38.5</v>
      </c>
      <c r="T72" s="223"/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T74"/>
  <sheetViews>
    <sheetView showGridLines="0" showRowColHeaders="0" zoomScalePageLayoutView="0" workbookViewId="0" topLeftCell="A1">
      <selection activeCell="A1" sqref="A1"/>
    </sheetView>
  </sheetViews>
  <sheetFormatPr defaultColWidth="8.88671875" defaultRowHeight="15"/>
  <cols>
    <col min="1" max="2" width="4.21484375" style="224" customWidth="1"/>
    <col min="3" max="3" width="2.6640625" style="224" customWidth="1"/>
    <col min="4" max="6" width="4.21484375" style="224" customWidth="1"/>
    <col min="7" max="7" width="2.6640625" style="224" customWidth="1"/>
    <col min="8" max="10" width="4.21484375" style="224" customWidth="1"/>
    <col min="11" max="11" width="2.21484375" style="224" customWidth="1"/>
    <col min="12" max="14" width="4.21484375" style="224" customWidth="1"/>
    <col min="15" max="15" width="2.21484375" style="224" customWidth="1"/>
    <col min="16" max="16" width="4.6640625" style="224" customWidth="1"/>
    <col min="17" max="17" width="4.21484375" style="224" customWidth="1"/>
    <col min="18" max="18" width="5.21484375" style="224" customWidth="1"/>
    <col min="19" max="19" width="2.21484375" style="224" customWidth="1"/>
    <col min="20" max="20" width="4.6640625" style="224" customWidth="1"/>
    <col min="21" max="16384" width="8.88671875" style="224" customWidth="1"/>
  </cols>
  <sheetData>
    <row r="1" spans="1:20" ht="39.75" customHeight="1">
      <c r="A1" s="225" t="s">
        <v>140</v>
      </c>
      <c r="B1" s="226" t="s">
        <v>139</v>
      </c>
      <c r="C1" s="226" t="s">
        <v>127</v>
      </c>
      <c r="D1" s="226" t="s">
        <v>142</v>
      </c>
      <c r="E1" s="225" t="s">
        <v>140</v>
      </c>
      <c r="F1" s="226" t="s">
        <v>139</v>
      </c>
      <c r="G1" s="226" t="s">
        <v>127</v>
      </c>
      <c r="H1" s="226" t="s">
        <v>142</v>
      </c>
      <c r="I1" s="225" t="s">
        <v>140</v>
      </c>
      <c r="J1" s="226" t="s">
        <v>139</v>
      </c>
      <c r="K1" s="226" t="s">
        <v>127</v>
      </c>
      <c r="L1" s="226" t="s">
        <v>142</v>
      </c>
      <c r="M1" s="225" t="s">
        <v>140</v>
      </c>
      <c r="N1" s="226" t="s">
        <v>139</v>
      </c>
      <c r="O1" s="226" t="s">
        <v>143</v>
      </c>
      <c r="P1" s="226" t="s">
        <v>142</v>
      </c>
      <c r="Q1" s="225" t="s">
        <v>140</v>
      </c>
      <c r="R1" s="226" t="s">
        <v>139</v>
      </c>
      <c r="S1" s="226" t="s">
        <v>143</v>
      </c>
      <c r="T1" s="227" t="s">
        <v>142</v>
      </c>
    </row>
    <row r="2" spans="1:20" ht="9" customHeight="1">
      <c r="A2" s="230"/>
      <c r="B2" s="236">
        <v>0.0059</v>
      </c>
      <c r="C2" s="231">
        <v>97</v>
      </c>
      <c r="D2" s="240">
        <v>0.15</v>
      </c>
      <c r="E2" s="230"/>
      <c r="F2" s="236">
        <v>0.0453</v>
      </c>
      <c r="G2" s="231"/>
      <c r="H2" s="240">
        <v>1.15</v>
      </c>
      <c r="I2" s="230"/>
      <c r="J2" s="236">
        <v>0.1378</v>
      </c>
      <c r="K2" s="231"/>
      <c r="L2" s="240">
        <v>3.5</v>
      </c>
      <c r="M2" s="230"/>
      <c r="N2" s="236">
        <v>0.252</v>
      </c>
      <c r="O2" s="231"/>
      <c r="P2" s="240">
        <v>6.4</v>
      </c>
      <c r="Q2" s="230" t="s">
        <v>165</v>
      </c>
      <c r="R2" s="236">
        <v>0.4062</v>
      </c>
      <c r="S2" s="241"/>
      <c r="T2" s="242"/>
    </row>
    <row r="3" spans="1:20" ht="9" customHeight="1">
      <c r="A3" s="230"/>
      <c r="B3" s="236">
        <v>0.0063</v>
      </c>
      <c r="C3" s="231">
        <v>96</v>
      </c>
      <c r="D3" s="240">
        <v>0.16</v>
      </c>
      <c r="E3" s="230"/>
      <c r="F3" s="236">
        <v>0.0465</v>
      </c>
      <c r="G3" s="231">
        <v>56</v>
      </c>
      <c r="H3" s="240"/>
      <c r="I3" s="230"/>
      <c r="J3" s="236">
        <v>0.1405</v>
      </c>
      <c r="K3" s="231">
        <v>28</v>
      </c>
      <c r="L3" s="240"/>
      <c r="M3" s="230"/>
      <c r="N3" s="236">
        <v>0.2559</v>
      </c>
      <c r="O3" s="231"/>
      <c r="P3" s="240">
        <v>6.5</v>
      </c>
      <c r="Q3" s="230"/>
      <c r="R3" s="236">
        <v>0.41300000000000003</v>
      </c>
      <c r="S3" s="243" t="s">
        <v>102</v>
      </c>
      <c r="T3" s="242"/>
    </row>
    <row r="4" spans="1:20" ht="9" customHeight="1">
      <c r="A4" s="230"/>
      <c r="B4" s="236">
        <v>0.0067</v>
      </c>
      <c r="C4" s="231">
        <v>95</v>
      </c>
      <c r="D4" s="240">
        <v>0.17</v>
      </c>
      <c r="E4" s="230" t="s">
        <v>157</v>
      </c>
      <c r="F4" s="236">
        <v>0.046900000000000004</v>
      </c>
      <c r="G4" s="231"/>
      <c r="H4" s="240"/>
      <c r="I4" s="230" t="s">
        <v>162</v>
      </c>
      <c r="J4" s="236">
        <v>0.1406</v>
      </c>
      <c r="K4" s="231"/>
      <c r="L4" s="240"/>
      <c r="M4" s="230"/>
      <c r="N4" s="236">
        <v>0.257</v>
      </c>
      <c r="O4" s="231" t="s">
        <v>164</v>
      </c>
      <c r="P4" s="240"/>
      <c r="Q4" s="230"/>
      <c r="R4" s="236">
        <v>0.4134</v>
      </c>
      <c r="S4" s="243"/>
      <c r="T4" s="242">
        <v>10.5</v>
      </c>
    </row>
    <row r="5" spans="1:20" ht="9" customHeight="1">
      <c r="A5" s="230"/>
      <c r="B5" s="236">
        <v>0.0071</v>
      </c>
      <c r="C5" s="231">
        <v>94</v>
      </c>
      <c r="D5" s="240">
        <v>0.18</v>
      </c>
      <c r="E5" s="230"/>
      <c r="F5" s="236">
        <v>0.0472</v>
      </c>
      <c r="G5" s="231"/>
      <c r="H5" s="240">
        <v>1.2</v>
      </c>
      <c r="I5" s="230"/>
      <c r="J5" s="236">
        <v>0.1417</v>
      </c>
      <c r="K5" s="231"/>
      <c r="L5" s="240">
        <v>3.6</v>
      </c>
      <c r="M5" s="230"/>
      <c r="N5" s="236">
        <v>0.2598</v>
      </c>
      <c r="O5" s="231"/>
      <c r="P5" s="240">
        <v>6.6</v>
      </c>
      <c r="Q5" s="230" t="s">
        <v>169</v>
      </c>
      <c r="R5" s="236">
        <v>0.4219</v>
      </c>
      <c r="S5" s="243"/>
      <c r="T5" s="242"/>
    </row>
    <row r="6" spans="1:20" ht="9" customHeight="1">
      <c r="A6" s="230"/>
      <c r="B6" s="236">
        <v>0.0075</v>
      </c>
      <c r="C6" s="231">
        <v>93</v>
      </c>
      <c r="D6" s="240">
        <v>0.19</v>
      </c>
      <c r="E6" s="230"/>
      <c r="F6" s="236">
        <v>0.0492</v>
      </c>
      <c r="G6" s="231"/>
      <c r="H6" s="240">
        <v>1.25</v>
      </c>
      <c r="I6" s="230"/>
      <c r="J6" s="236">
        <v>0.14400000000000002</v>
      </c>
      <c r="K6" s="231">
        <v>27</v>
      </c>
      <c r="L6" s="240"/>
      <c r="M6" s="230"/>
      <c r="N6" s="236">
        <v>0.261</v>
      </c>
      <c r="O6" s="231" t="s">
        <v>167</v>
      </c>
      <c r="P6" s="240"/>
      <c r="Q6" s="230"/>
      <c r="R6" s="236">
        <v>0.4331</v>
      </c>
      <c r="S6" s="243"/>
      <c r="T6" s="242">
        <v>11</v>
      </c>
    </row>
    <row r="7" spans="1:20" ht="9" customHeight="1">
      <c r="A7" s="230"/>
      <c r="B7" s="236">
        <v>0.0079</v>
      </c>
      <c r="C7" s="231">
        <v>92</v>
      </c>
      <c r="D7" s="240">
        <v>0.2</v>
      </c>
      <c r="E7" s="230"/>
      <c r="F7" s="236">
        <v>0.0512</v>
      </c>
      <c r="G7" s="231"/>
      <c r="H7" s="240">
        <v>1.3</v>
      </c>
      <c r="I7" s="230"/>
      <c r="J7" s="236">
        <v>0.1457</v>
      </c>
      <c r="K7" s="231"/>
      <c r="L7" s="240">
        <v>3.7</v>
      </c>
      <c r="M7" s="230"/>
      <c r="N7" s="236">
        <v>0.2638</v>
      </c>
      <c r="O7" s="231"/>
      <c r="P7" s="240">
        <v>6.7</v>
      </c>
      <c r="Q7" s="230" t="s">
        <v>172</v>
      </c>
      <c r="R7" s="236">
        <v>0.4375</v>
      </c>
      <c r="S7" s="243"/>
      <c r="T7" s="242"/>
    </row>
    <row r="8" spans="1:20" ht="9" customHeight="1">
      <c r="A8" s="230"/>
      <c r="B8" s="236">
        <v>0.0083</v>
      </c>
      <c r="C8" s="231">
        <v>91</v>
      </c>
      <c r="D8" s="240">
        <v>0.21</v>
      </c>
      <c r="E8" s="230"/>
      <c r="F8" s="236">
        <v>0.052000000000000005</v>
      </c>
      <c r="G8" s="231">
        <v>55</v>
      </c>
      <c r="H8" s="240"/>
      <c r="I8" s="230"/>
      <c r="J8" s="236">
        <v>0.147</v>
      </c>
      <c r="K8" s="231">
        <v>26</v>
      </c>
      <c r="L8" s="240"/>
      <c r="M8" s="230" t="s">
        <v>170</v>
      </c>
      <c r="N8" s="236">
        <v>0.2656</v>
      </c>
      <c r="O8" s="231"/>
      <c r="P8" s="240"/>
      <c r="Q8" s="230"/>
      <c r="R8" s="236">
        <v>0.4528</v>
      </c>
      <c r="S8" s="243"/>
      <c r="T8" s="242">
        <v>11.5</v>
      </c>
    </row>
    <row r="9" spans="1:20" ht="9" customHeight="1">
      <c r="A9" s="230"/>
      <c r="B9" s="236">
        <v>0.0087</v>
      </c>
      <c r="C9" s="231">
        <v>90</v>
      </c>
      <c r="D9" s="240">
        <v>0.22</v>
      </c>
      <c r="E9" s="230"/>
      <c r="F9" s="236">
        <v>0.0531</v>
      </c>
      <c r="G9" s="231"/>
      <c r="H9" s="240">
        <v>1.35</v>
      </c>
      <c r="I9" s="230"/>
      <c r="J9" s="236">
        <v>0.1476</v>
      </c>
      <c r="K9" s="231"/>
      <c r="L9" s="240">
        <v>3.75</v>
      </c>
      <c r="M9" s="230"/>
      <c r="N9" s="236">
        <v>0.2657</v>
      </c>
      <c r="O9" s="231"/>
      <c r="P9" s="240">
        <v>6.75</v>
      </c>
      <c r="Q9" s="230" t="s">
        <v>175</v>
      </c>
      <c r="R9" s="236">
        <v>0.4531</v>
      </c>
      <c r="S9" s="243"/>
      <c r="T9" s="242"/>
    </row>
    <row r="10" spans="1:20" ht="9" customHeight="1">
      <c r="A10" s="230"/>
      <c r="B10" s="236">
        <v>0.0091</v>
      </c>
      <c r="C10" s="231">
        <v>89</v>
      </c>
      <c r="D10" s="240">
        <v>0.23</v>
      </c>
      <c r="E10" s="230"/>
      <c r="F10" s="236">
        <v>0.055</v>
      </c>
      <c r="G10" s="231">
        <v>54</v>
      </c>
      <c r="H10" s="240"/>
      <c r="I10" s="230"/>
      <c r="J10" s="236">
        <v>0.1495</v>
      </c>
      <c r="K10" s="231">
        <v>25</v>
      </c>
      <c r="L10" s="240"/>
      <c r="M10" s="230"/>
      <c r="N10" s="236">
        <v>0.266</v>
      </c>
      <c r="O10" s="231" t="s">
        <v>174</v>
      </c>
      <c r="P10" s="240"/>
      <c r="Q10" s="230" t="s">
        <v>178</v>
      </c>
      <c r="R10" s="236">
        <v>0.4688</v>
      </c>
      <c r="S10" s="243"/>
      <c r="T10" s="242"/>
    </row>
    <row r="11" spans="1:20" ht="9" customHeight="1">
      <c r="A11" s="230"/>
      <c r="B11" s="236">
        <v>0.0094</v>
      </c>
      <c r="C11" s="231"/>
      <c r="D11" s="240">
        <v>0.24</v>
      </c>
      <c r="E11" s="230"/>
      <c r="F11" s="236">
        <v>0.0551</v>
      </c>
      <c r="G11" s="231"/>
      <c r="H11" s="240">
        <v>1.4</v>
      </c>
      <c r="I11" s="230"/>
      <c r="J11" s="236">
        <v>0.1496</v>
      </c>
      <c r="K11" s="231"/>
      <c r="L11" s="240">
        <v>3.8</v>
      </c>
      <c r="M11" s="230"/>
      <c r="N11" s="236">
        <v>0.2677</v>
      </c>
      <c r="O11" s="231"/>
      <c r="P11" s="240">
        <v>6.8</v>
      </c>
      <c r="Q11" s="230"/>
      <c r="R11" s="236">
        <v>0.4724</v>
      </c>
      <c r="S11" s="243"/>
      <c r="T11" s="242">
        <v>12</v>
      </c>
    </row>
    <row r="12" spans="1:20" ht="9" customHeight="1">
      <c r="A12" s="230"/>
      <c r="B12" s="236">
        <v>0.0095</v>
      </c>
      <c r="C12" s="231">
        <v>88</v>
      </c>
      <c r="D12" s="240"/>
      <c r="E12" s="230"/>
      <c r="F12" s="236">
        <v>0.057100000000000005</v>
      </c>
      <c r="G12" s="231"/>
      <c r="H12" s="240">
        <v>1.45</v>
      </c>
      <c r="I12" s="230"/>
      <c r="J12" s="236">
        <v>0.152</v>
      </c>
      <c r="K12" s="231">
        <v>24</v>
      </c>
      <c r="L12" s="240"/>
      <c r="M12" s="230"/>
      <c r="N12" s="236">
        <v>0.2717</v>
      </c>
      <c r="O12" s="231"/>
      <c r="P12" s="240">
        <v>6.9</v>
      </c>
      <c r="Q12" s="230" t="s">
        <v>182</v>
      </c>
      <c r="R12" s="236">
        <v>0.4844</v>
      </c>
      <c r="S12" s="243"/>
      <c r="T12" s="242"/>
    </row>
    <row r="13" spans="1:20" ht="9" customHeight="1">
      <c r="A13" s="230"/>
      <c r="B13" s="236">
        <v>0.0098</v>
      </c>
      <c r="C13" s="231"/>
      <c r="D13" s="240">
        <v>0.25</v>
      </c>
      <c r="E13" s="230"/>
      <c r="F13" s="236">
        <v>0.0591</v>
      </c>
      <c r="G13" s="231"/>
      <c r="H13" s="240">
        <v>1.5</v>
      </c>
      <c r="I13" s="230"/>
      <c r="J13" s="236">
        <v>0.1535</v>
      </c>
      <c r="K13" s="231"/>
      <c r="L13" s="240">
        <v>3.9</v>
      </c>
      <c r="M13" s="230"/>
      <c r="N13" s="236">
        <v>0.272</v>
      </c>
      <c r="O13" s="231" t="s">
        <v>180</v>
      </c>
      <c r="P13" s="240"/>
      <c r="Q13" s="230"/>
      <c r="R13" s="236">
        <v>0.4921</v>
      </c>
      <c r="S13" s="243"/>
      <c r="T13" s="242">
        <v>12.5</v>
      </c>
    </row>
    <row r="14" spans="1:20" ht="9" customHeight="1">
      <c r="A14" s="230"/>
      <c r="B14" s="236">
        <v>0.01</v>
      </c>
      <c r="C14" s="231">
        <v>87</v>
      </c>
      <c r="D14" s="240"/>
      <c r="E14" s="230"/>
      <c r="F14" s="236">
        <v>0.059500000000000004</v>
      </c>
      <c r="G14" s="231">
        <v>53</v>
      </c>
      <c r="H14" s="240"/>
      <c r="I14" s="230"/>
      <c r="J14" s="236">
        <v>0.154</v>
      </c>
      <c r="K14" s="231">
        <v>23</v>
      </c>
      <c r="L14" s="240"/>
      <c r="M14" s="230"/>
      <c r="N14" s="236">
        <v>0.2756</v>
      </c>
      <c r="O14" s="231"/>
      <c r="P14" s="240">
        <v>7</v>
      </c>
      <c r="Q14" s="230" t="s">
        <v>185</v>
      </c>
      <c r="R14" s="236">
        <v>0.5</v>
      </c>
      <c r="S14" s="243"/>
      <c r="T14" s="242"/>
    </row>
    <row r="15" spans="1:20" ht="9" customHeight="1">
      <c r="A15" s="230"/>
      <c r="B15" s="236">
        <v>0.0102</v>
      </c>
      <c r="C15" s="231"/>
      <c r="D15" s="240">
        <v>0.26</v>
      </c>
      <c r="E15" s="230"/>
      <c r="F15" s="236">
        <v>0.061000000000000006</v>
      </c>
      <c r="G15" s="231"/>
      <c r="H15" s="240">
        <v>1.55</v>
      </c>
      <c r="I15" s="230" t="s">
        <v>179</v>
      </c>
      <c r="J15" s="236">
        <v>0.1562</v>
      </c>
      <c r="K15" s="231"/>
      <c r="L15" s="240"/>
      <c r="M15" s="230"/>
      <c r="N15" s="236">
        <v>0.277</v>
      </c>
      <c r="O15" s="231" t="s">
        <v>183</v>
      </c>
      <c r="P15" s="240"/>
      <c r="Q15" s="230"/>
      <c r="R15" s="236">
        <v>0.5118</v>
      </c>
      <c r="S15" s="243"/>
      <c r="T15" s="242">
        <v>13</v>
      </c>
    </row>
    <row r="16" spans="1:20" ht="9" customHeight="1">
      <c r="A16" s="230"/>
      <c r="B16" s="236">
        <v>0.0105</v>
      </c>
      <c r="C16" s="231">
        <v>86</v>
      </c>
      <c r="D16" s="240"/>
      <c r="E16" s="230" t="s">
        <v>177</v>
      </c>
      <c r="F16" s="236">
        <v>0.0625</v>
      </c>
      <c r="G16" s="231"/>
      <c r="H16" s="240"/>
      <c r="I16" s="230"/>
      <c r="J16" s="236">
        <v>0.157</v>
      </c>
      <c r="K16" s="231">
        <v>22</v>
      </c>
      <c r="L16" s="240"/>
      <c r="M16" s="230"/>
      <c r="N16" s="236">
        <v>0.2795</v>
      </c>
      <c r="O16" s="231"/>
      <c r="P16" s="240">
        <v>7.1</v>
      </c>
      <c r="Q16" s="230" t="s">
        <v>189</v>
      </c>
      <c r="R16" s="236">
        <v>0.5156</v>
      </c>
      <c r="S16" s="243"/>
      <c r="T16" s="242"/>
    </row>
    <row r="17" spans="1:20" ht="9" customHeight="1">
      <c r="A17" s="230"/>
      <c r="B17" s="236">
        <v>0.0106</v>
      </c>
      <c r="C17" s="231"/>
      <c r="D17" s="240">
        <v>0.27</v>
      </c>
      <c r="E17" s="230"/>
      <c r="F17" s="236">
        <v>0.063</v>
      </c>
      <c r="G17" s="231"/>
      <c r="H17" s="240">
        <v>1.6</v>
      </c>
      <c r="I17" s="230"/>
      <c r="J17" s="236">
        <v>0.1575</v>
      </c>
      <c r="K17" s="231"/>
      <c r="L17" s="240">
        <v>4</v>
      </c>
      <c r="M17" s="230"/>
      <c r="N17" s="236">
        <v>0.281</v>
      </c>
      <c r="O17" s="231" t="s">
        <v>186</v>
      </c>
      <c r="P17" s="240"/>
      <c r="Q17" s="230" t="s">
        <v>191</v>
      </c>
      <c r="R17" s="236">
        <v>0.5312</v>
      </c>
      <c r="S17" s="243"/>
      <c r="T17" s="242"/>
    </row>
    <row r="18" spans="1:20" ht="9" customHeight="1">
      <c r="A18" s="230"/>
      <c r="B18" s="236">
        <v>0.011</v>
      </c>
      <c r="C18" s="231">
        <v>85</v>
      </c>
      <c r="D18" s="240">
        <v>0.28</v>
      </c>
      <c r="E18" s="230"/>
      <c r="F18" s="236">
        <v>0.0635</v>
      </c>
      <c r="G18" s="231">
        <v>52</v>
      </c>
      <c r="H18" s="240"/>
      <c r="I18" s="230"/>
      <c r="J18" s="236">
        <v>0.159</v>
      </c>
      <c r="K18" s="231">
        <v>21</v>
      </c>
      <c r="L18" s="240"/>
      <c r="M18" s="230" t="s">
        <v>188</v>
      </c>
      <c r="N18" s="236">
        <v>0.2812</v>
      </c>
      <c r="O18" s="231"/>
      <c r="P18" s="240"/>
      <c r="Q18" s="230"/>
      <c r="R18" s="236">
        <v>0.5315</v>
      </c>
      <c r="S18" s="243"/>
      <c r="T18" s="242">
        <v>13.5</v>
      </c>
    </row>
    <row r="19" spans="1:20" ht="9" customHeight="1">
      <c r="A19" s="230"/>
      <c r="B19" s="236">
        <v>0.0114</v>
      </c>
      <c r="C19" s="231"/>
      <c r="D19" s="240">
        <v>0.29</v>
      </c>
      <c r="E19" s="230"/>
      <c r="F19" s="236">
        <v>0.065</v>
      </c>
      <c r="G19" s="231"/>
      <c r="H19" s="240">
        <v>1.65</v>
      </c>
      <c r="I19" s="230"/>
      <c r="J19" s="236">
        <v>0.161</v>
      </c>
      <c r="K19" s="231">
        <v>20</v>
      </c>
      <c r="L19" s="240"/>
      <c r="M19" s="230"/>
      <c r="N19" s="236">
        <v>0.28350000000000003</v>
      </c>
      <c r="O19" s="231"/>
      <c r="P19" s="240">
        <v>7.2</v>
      </c>
      <c r="Q19" s="230" t="s">
        <v>193</v>
      </c>
      <c r="R19" s="236">
        <v>0.5469</v>
      </c>
      <c r="S19" s="243"/>
      <c r="T19" s="242"/>
    </row>
    <row r="20" spans="1:20" ht="9" customHeight="1">
      <c r="A20" s="230"/>
      <c r="B20" s="236">
        <v>0.0115</v>
      </c>
      <c r="C20" s="231">
        <v>84</v>
      </c>
      <c r="D20" s="240"/>
      <c r="E20" s="230"/>
      <c r="F20" s="236">
        <v>0.0669</v>
      </c>
      <c r="G20" s="231"/>
      <c r="H20" s="240">
        <v>1.7</v>
      </c>
      <c r="I20" s="230"/>
      <c r="J20" s="236">
        <v>0.1614</v>
      </c>
      <c r="K20" s="231"/>
      <c r="L20" s="240">
        <v>4.1</v>
      </c>
      <c r="M20" s="230"/>
      <c r="N20" s="236">
        <v>0.2854</v>
      </c>
      <c r="O20" s="231"/>
      <c r="P20" s="240">
        <v>7.25</v>
      </c>
      <c r="Q20" s="230"/>
      <c r="R20" s="236">
        <v>0.5512</v>
      </c>
      <c r="S20" s="243"/>
      <c r="T20" s="242">
        <v>14</v>
      </c>
    </row>
    <row r="21" spans="1:20" ht="9" customHeight="1">
      <c r="A21" s="230"/>
      <c r="B21" s="236">
        <v>0.0118</v>
      </c>
      <c r="C21" s="231"/>
      <c r="D21" s="240">
        <v>0.3</v>
      </c>
      <c r="E21" s="230"/>
      <c r="F21" s="236">
        <v>0.067</v>
      </c>
      <c r="G21" s="231">
        <v>51</v>
      </c>
      <c r="H21" s="240"/>
      <c r="I21" s="230"/>
      <c r="J21" s="236">
        <v>0.1654</v>
      </c>
      <c r="K21" s="231"/>
      <c r="L21" s="240">
        <v>4.2</v>
      </c>
      <c r="M21" s="230"/>
      <c r="N21" s="236">
        <v>0.2874</v>
      </c>
      <c r="O21" s="231"/>
      <c r="P21" s="240">
        <v>7.3</v>
      </c>
      <c r="Q21" s="230" t="s">
        <v>196</v>
      </c>
      <c r="R21" s="236">
        <v>0.5625</v>
      </c>
      <c r="S21" s="243"/>
      <c r="T21" s="242"/>
    </row>
    <row r="22" spans="1:20" ht="9" customHeight="1">
      <c r="A22" s="230"/>
      <c r="B22" s="236">
        <v>0.012</v>
      </c>
      <c r="C22" s="231">
        <v>83</v>
      </c>
      <c r="D22" s="240"/>
      <c r="E22" s="230"/>
      <c r="F22" s="236">
        <v>0.0689</v>
      </c>
      <c r="G22" s="231"/>
      <c r="H22" s="240">
        <v>1.75</v>
      </c>
      <c r="I22" s="230"/>
      <c r="J22" s="236">
        <v>0.166</v>
      </c>
      <c r="K22" s="231">
        <v>19</v>
      </c>
      <c r="L22" s="240"/>
      <c r="M22" s="230"/>
      <c r="N22" s="236">
        <v>0.29</v>
      </c>
      <c r="O22" s="231" t="s">
        <v>194</v>
      </c>
      <c r="P22" s="240"/>
      <c r="Q22" s="230"/>
      <c r="R22" s="236">
        <v>0.5709</v>
      </c>
      <c r="S22" s="243"/>
      <c r="T22" s="242">
        <v>14.5</v>
      </c>
    </row>
    <row r="23" spans="1:20" ht="9" customHeight="1">
      <c r="A23" s="230"/>
      <c r="B23" s="236">
        <v>0.0125</v>
      </c>
      <c r="C23" s="231">
        <v>82</v>
      </c>
      <c r="D23" s="240"/>
      <c r="E23" s="230"/>
      <c r="F23" s="236">
        <v>0.07</v>
      </c>
      <c r="G23" s="231">
        <v>50</v>
      </c>
      <c r="H23" s="240"/>
      <c r="I23" s="230"/>
      <c r="J23" s="236">
        <v>0.1673</v>
      </c>
      <c r="K23" s="231"/>
      <c r="L23" s="240">
        <v>4.25</v>
      </c>
      <c r="M23" s="230"/>
      <c r="N23" s="236">
        <v>0.2913</v>
      </c>
      <c r="O23" s="231"/>
      <c r="P23" s="240">
        <v>7.4</v>
      </c>
      <c r="Q23" s="230" t="s">
        <v>200</v>
      </c>
      <c r="R23" s="236">
        <v>0.5781</v>
      </c>
      <c r="S23" s="243"/>
      <c r="T23" s="242"/>
    </row>
    <row r="24" spans="1:20" ht="9" customHeight="1">
      <c r="A24" s="230"/>
      <c r="B24" s="236">
        <v>0.0126</v>
      </c>
      <c r="C24" s="231"/>
      <c r="D24" s="240">
        <v>0.32</v>
      </c>
      <c r="E24" s="230"/>
      <c r="F24" s="236">
        <v>0.0709</v>
      </c>
      <c r="G24" s="231"/>
      <c r="H24" s="240">
        <v>1.8</v>
      </c>
      <c r="I24" s="230"/>
      <c r="J24" s="236">
        <v>0.1693</v>
      </c>
      <c r="K24" s="231"/>
      <c r="L24" s="240">
        <v>4.3</v>
      </c>
      <c r="M24" s="230"/>
      <c r="N24" s="236">
        <v>0.295</v>
      </c>
      <c r="O24" s="231" t="s">
        <v>198</v>
      </c>
      <c r="P24" s="240"/>
      <c r="Q24" s="230"/>
      <c r="R24" s="236">
        <v>0.5906</v>
      </c>
      <c r="S24" s="243"/>
      <c r="T24" s="242">
        <v>15</v>
      </c>
    </row>
    <row r="25" spans="1:20" ht="9" customHeight="1">
      <c r="A25" s="230"/>
      <c r="B25" s="236">
        <v>0.013</v>
      </c>
      <c r="C25" s="231">
        <v>81</v>
      </c>
      <c r="D25" s="240"/>
      <c r="E25" s="230"/>
      <c r="F25" s="236">
        <v>0.0728</v>
      </c>
      <c r="G25" s="231"/>
      <c r="H25" s="240">
        <v>1.85</v>
      </c>
      <c r="I25" s="230"/>
      <c r="J25" s="236">
        <v>0.1695</v>
      </c>
      <c r="K25" s="231">
        <v>18</v>
      </c>
      <c r="L25" s="240"/>
      <c r="M25" s="230"/>
      <c r="N25" s="236">
        <v>0.2953</v>
      </c>
      <c r="O25" s="231"/>
      <c r="P25" s="240">
        <v>7.5</v>
      </c>
      <c r="Q25" s="230" t="s">
        <v>204</v>
      </c>
      <c r="R25" s="236">
        <v>0.5938</v>
      </c>
      <c r="S25" s="243"/>
      <c r="T25" s="242"/>
    </row>
    <row r="26" spans="1:20" ht="9" customHeight="1">
      <c r="A26" s="230"/>
      <c r="B26" s="236">
        <v>0.0134</v>
      </c>
      <c r="C26" s="231"/>
      <c r="D26" s="240">
        <v>0.34</v>
      </c>
      <c r="E26" s="230"/>
      <c r="F26" s="236">
        <v>0.073</v>
      </c>
      <c r="G26" s="231">
        <v>49</v>
      </c>
      <c r="H26" s="240"/>
      <c r="I26" s="230" t="s">
        <v>197</v>
      </c>
      <c r="J26" s="236">
        <v>0.1719</v>
      </c>
      <c r="K26" s="231"/>
      <c r="L26" s="240"/>
      <c r="M26" s="230" t="s">
        <v>202</v>
      </c>
      <c r="N26" s="236">
        <v>0.2969</v>
      </c>
      <c r="O26" s="231"/>
      <c r="P26" s="240"/>
      <c r="Q26" s="230" t="s">
        <v>207</v>
      </c>
      <c r="R26" s="236">
        <v>0.6094</v>
      </c>
      <c r="S26" s="243"/>
      <c r="T26" s="242"/>
    </row>
    <row r="27" spans="1:20" ht="9" customHeight="1">
      <c r="A27" s="230"/>
      <c r="B27" s="236">
        <v>0.0135</v>
      </c>
      <c r="C27" s="231">
        <v>80</v>
      </c>
      <c r="D27" s="240"/>
      <c r="E27" s="230"/>
      <c r="F27" s="236">
        <v>0.0748</v>
      </c>
      <c r="G27" s="231"/>
      <c r="H27" s="240">
        <v>1.9</v>
      </c>
      <c r="I27" s="230"/>
      <c r="J27" s="236">
        <v>0.17300000000000001</v>
      </c>
      <c r="K27" s="231">
        <v>17</v>
      </c>
      <c r="L27" s="240"/>
      <c r="M27" s="230"/>
      <c r="N27" s="236">
        <v>0.2992</v>
      </c>
      <c r="O27" s="231"/>
      <c r="P27" s="240">
        <v>7.6</v>
      </c>
      <c r="Q27" s="230"/>
      <c r="R27" s="236">
        <v>0.6102</v>
      </c>
      <c r="S27" s="243"/>
      <c r="T27" s="242">
        <v>15.5</v>
      </c>
    </row>
    <row r="28" spans="1:20" ht="9" customHeight="1">
      <c r="A28" s="230"/>
      <c r="B28" s="236">
        <v>0.0138</v>
      </c>
      <c r="C28" s="231"/>
      <c r="D28" s="240">
        <v>0.35</v>
      </c>
      <c r="E28" s="230"/>
      <c r="F28" s="236">
        <v>0.076</v>
      </c>
      <c r="G28" s="231">
        <v>48</v>
      </c>
      <c r="H28" s="240"/>
      <c r="I28" s="230"/>
      <c r="J28" s="236">
        <v>0.1732</v>
      </c>
      <c r="K28" s="231"/>
      <c r="L28" s="240">
        <v>4.4</v>
      </c>
      <c r="M28" s="230"/>
      <c r="N28" s="236">
        <v>0.302</v>
      </c>
      <c r="O28" s="231" t="s">
        <v>206</v>
      </c>
      <c r="P28" s="240"/>
      <c r="Q28" s="230" t="s">
        <v>209</v>
      </c>
      <c r="R28" s="236">
        <v>0.625</v>
      </c>
      <c r="S28" s="243"/>
      <c r="T28" s="242"/>
    </row>
    <row r="29" spans="1:20" ht="9" customHeight="1">
      <c r="A29" s="230"/>
      <c r="B29" s="236">
        <v>0.0142</v>
      </c>
      <c r="C29" s="231"/>
      <c r="D29" s="240">
        <v>0.36</v>
      </c>
      <c r="E29" s="230"/>
      <c r="F29" s="236">
        <v>0.07680000000000001</v>
      </c>
      <c r="G29" s="231"/>
      <c r="H29" s="240">
        <v>1.95</v>
      </c>
      <c r="I29" s="230"/>
      <c r="J29" s="236">
        <v>0.177</v>
      </c>
      <c r="K29" s="231">
        <v>16</v>
      </c>
      <c r="L29" s="240"/>
      <c r="M29" s="230"/>
      <c r="N29" s="236">
        <v>0.3031</v>
      </c>
      <c r="O29" s="231"/>
      <c r="P29" s="240">
        <v>7.7</v>
      </c>
      <c r="Q29" s="230"/>
      <c r="R29" s="236">
        <v>0.6299</v>
      </c>
      <c r="S29" s="243"/>
      <c r="T29" s="242">
        <v>16</v>
      </c>
    </row>
    <row r="30" spans="1:20" ht="9" customHeight="1">
      <c r="A30" s="230"/>
      <c r="B30" s="236">
        <v>0.0145</v>
      </c>
      <c r="C30" s="231">
        <v>79</v>
      </c>
      <c r="D30" s="240"/>
      <c r="E30" s="230" t="s">
        <v>201</v>
      </c>
      <c r="F30" s="236">
        <v>0.0781</v>
      </c>
      <c r="G30" s="231"/>
      <c r="H30" s="240"/>
      <c r="I30" s="230"/>
      <c r="J30" s="236">
        <v>0.1772</v>
      </c>
      <c r="K30" s="231"/>
      <c r="L30" s="240">
        <v>4.5</v>
      </c>
      <c r="M30" s="230"/>
      <c r="N30" s="236">
        <v>0.3051</v>
      </c>
      <c r="O30" s="231"/>
      <c r="P30" s="240">
        <v>7.75</v>
      </c>
      <c r="Q30" s="230" t="s">
        <v>211</v>
      </c>
      <c r="R30" s="236">
        <v>0.6406</v>
      </c>
      <c r="S30" s="243"/>
      <c r="T30" s="242"/>
    </row>
    <row r="31" spans="1:20" ht="9" customHeight="1">
      <c r="A31" s="230"/>
      <c r="B31" s="236">
        <v>0.015</v>
      </c>
      <c r="C31" s="231"/>
      <c r="D31" s="240">
        <v>0.38</v>
      </c>
      <c r="E31" s="230"/>
      <c r="F31" s="236">
        <v>0.0785</v>
      </c>
      <c r="G31" s="231">
        <v>47</v>
      </c>
      <c r="H31" s="240"/>
      <c r="I31" s="230"/>
      <c r="J31" s="236">
        <v>0.18</v>
      </c>
      <c r="K31" s="231">
        <v>15</v>
      </c>
      <c r="L31" s="240"/>
      <c r="M31" s="230"/>
      <c r="N31" s="236">
        <v>0.3071</v>
      </c>
      <c r="O31" s="231"/>
      <c r="P31" s="240">
        <v>7.8</v>
      </c>
      <c r="Q31" s="230"/>
      <c r="R31" s="236">
        <v>0.6496</v>
      </c>
      <c r="S31" s="243"/>
      <c r="T31" s="242">
        <v>16.5</v>
      </c>
    </row>
    <row r="32" spans="1:20" ht="9" customHeight="1">
      <c r="A32" s="230" t="s">
        <v>953</v>
      </c>
      <c r="B32" s="236">
        <v>0.0156</v>
      </c>
      <c r="C32" s="231"/>
      <c r="D32" s="240"/>
      <c r="E32" s="230"/>
      <c r="F32" s="236">
        <v>0.0787</v>
      </c>
      <c r="G32" s="231"/>
      <c r="H32" s="240">
        <v>2</v>
      </c>
      <c r="I32" s="230"/>
      <c r="J32" s="236">
        <v>0.1811</v>
      </c>
      <c r="K32" s="231"/>
      <c r="L32" s="240">
        <v>4.6</v>
      </c>
      <c r="M32" s="230"/>
      <c r="N32" s="236">
        <v>0.311</v>
      </c>
      <c r="O32" s="231"/>
      <c r="P32" s="240">
        <v>7.9</v>
      </c>
      <c r="Q32" s="230" t="s">
        <v>215</v>
      </c>
      <c r="R32" s="236">
        <v>0.6562</v>
      </c>
      <c r="S32" s="243"/>
      <c r="T32" s="242"/>
    </row>
    <row r="33" spans="1:20" ht="9" customHeight="1">
      <c r="A33" s="230"/>
      <c r="B33" s="236">
        <v>0.0157</v>
      </c>
      <c r="C33" s="231"/>
      <c r="D33" s="240">
        <v>0.4</v>
      </c>
      <c r="E33" s="230"/>
      <c r="F33" s="236">
        <v>0.08070000000000001</v>
      </c>
      <c r="G33" s="231"/>
      <c r="H33" s="240">
        <v>2.05</v>
      </c>
      <c r="I33" s="230"/>
      <c r="J33" s="236">
        <v>0.182</v>
      </c>
      <c r="K33" s="231">
        <v>14</v>
      </c>
      <c r="L33" s="240"/>
      <c r="M33" s="230" t="s">
        <v>212</v>
      </c>
      <c r="N33" s="236">
        <v>0.3125</v>
      </c>
      <c r="O33" s="231"/>
      <c r="P33" s="240"/>
      <c r="Q33" s="230"/>
      <c r="R33" s="236">
        <v>0.6693</v>
      </c>
      <c r="S33" s="243"/>
      <c r="T33" s="242">
        <v>17</v>
      </c>
    </row>
    <row r="34" spans="1:20" ht="9" customHeight="1">
      <c r="A34" s="230"/>
      <c r="B34" s="236">
        <v>0.016</v>
      </c>
      <c r="C34" s="231">
        <v>78</v>
      </c>
      <c r="D34" s="240"/>
      <c r="E34" s="230"/>
      <c r="F34" s="236">
        <v>0.081</v>
      </c>
      <c r="G34" s="231">
        <v>46</v>
      </c>
      <c r="H34" s="240"/>
      <c r="I34" s="230"/>
      <c r="J34" s="236">
        <v>0.185</v>
      </c>
      <c r="K34" s="231">
        <v>13</v>
      </c>
      <c r="L34" s="240">
        <v>4.7</v>
      </c>
      <c r="M34" s="230"/>
      <c r="N34" s="236">
        <v>0.315</v>
      </c>
      <c r="O34" s="231"/>
      <c r="P34" s="240">
        <v>8</v>
      </c>
      <c r="Q34" s="230" t="s">
        <v>218</v>
      </c>
      <c r="R34" s="236">
        <v>0.6719</v>
      </c>
      <c r="S34" s="243"/>
      <c r="T34" s="242"/>
    </row>
    <row r="35" spans="1:20" ht="9" customHeight="1">
      <c r="A35" s="230"/>
      <c r="B35" s="236">
        <v>0.0165</v>
      </c>
      <c r="C35" s="231"/>
      <c r="D35" s="240">
        <v>0.42</v>
      </c>
      <c r="E35" s="230"/>
      <c r="F35" s="236">
        <v>0.082</v>
      </c>
      <c r="G35" s="231">
        <v>45</v>
      </c>
      <c r="H35" s="240"/>
      <c r="I35" s="230"/>
      <c r="J35" s="236">
        <v>0.187</v>
      </c>
      <c r="K35" s="231"/>
      <c r="L35" s="240">
        <v>4.75</v>
      </c>
      <c r="M35" s="230"/>
      <c r="N35" s="236">
        <v>0.316</v>
      </c>
      <c r="O35" s="231" t="s">
        <v>216</v>
      </c>
      <c r="P35" s="240"/>
      <c r="Q35" s="230" t="s">
        <v>220</v>
      </c>
      <c r="R35" s="236">
        <v>0.6875</v>
      </c>
      <c r="S35" s="243"/>
      <c r="T35" s="242"/>
    </row>
    <row r="36" spans="1:20" ht="9" customHeight="1">
      <c r="A36" s="230"/>
      <c r="B36" s="236">
        <v>0.0173</v>
      </c>
      <c r="C36" s="231"/>
      <c r="D36" s="240">
        <v>0.44</v>
      </c>
      <c r="E36" s="230"/>
      <c r="F36" s="236">
        <v>0.08270000000000001</v>
      </c>
      <c r="G36" s="231"/>
      <c r="H36" s="240">
        <v>2.1</v>
      </c>
      <c r="I36" s="230" t="s">
        <v>214</v>
      </c>
      <c r="J36" s="236">
        <v>0.1875</v>
      </c>
      <c r="K36" s="231"/>
      <c r="L36" s="240"/>
      <c r="M36" s="230"/>
      <c r="N36" s="236">
        <v>0.3189</v>
      </c>
      <c r="O36" s="231"/>
      <c r="P36" s="240">
        <v>8.1</v>
      </c>
      <c r="Q36" s="230"/>
      <c r="R36" s="236">
        <v>0.6890000000000001</v>
      </c>
      <c r="S36" s="243"/>
      <c r="T36" s="242">
        <v>17.5</v>
      </c>
    </row>
    <row r="37" spans="1:20" ht="9" customHeight="1">
      <c r="A37" s="230"/>
      <c r="B37" s="236">
        <v>0.0177</v>
      </c>
      <c r="C37" s="231"/>
      <c r="D37" s="240">
        <v>0.45</v>
      </c>
      <c r="E37" s="230"/>
      <c r="F37" s="236">
        <v>0.08460000000000001</v>
      </c>
      <c r="G37" s="231"/>
      <c r="H37" s="240">
        <v>2.15</v>
      </c>
      <c r="I37" s="230"/>
      <c r="J37" s="236">
        <v>0.189</v>
      </c>
      <c r="K37" s="231">
        <v>12</v>
      </c>
      <c r="L37" s="240">
        <v>4.8</v>
      </c>
      <c r="M37" s="230"/>
      <c r="N37" s="236">
        <v>0.3228</v>
      </c>
      <c r="O37" s="231"/>
      <c r="P37" s="240">
        <v>8.2</v>
      </c>
      <c r="Q37" s="230" t="s">
        <v>223</v>
      </c>
      <c r="R37" s="236">
        <v>0.7031</v>
      </c>
      <c r="S37" s="243"/>
      <c r="T37" s="242"/>
    </row>
    <row r="38" spans="1:20" ht="9" customHeight="1">
      <c r="A38" s="230"/>
      <c r="B38" s="236">
        <v>0.018</v>
      </c>
      <c r="C38" s="231">
        <v>77</v>
      </c>
      <c r="D38" s="240"/>
      <c r="E38" s="230"/>
      <c r="F38" s="236">
        <v>0.08600000000000001</v>
      </c>
      <c r="G38" s="231">
        <v>44</v>
      </c>
      <c r="H38" s="240"/>
      <c r="I38" s="230"/>
      <c r="J38" s="236">
        <v>0.191</v>
      </c>
      <c r="K38" s="231">
        <v>11</v>
      </c>
      <c r="L38" s="240"/>
      <c r="M38" s="230"/>
      <c r="N38" s="236">
        <v>0.323</v>
      </c>
      <c r="O38" s="231" t="s">
        <v>221</v>
      </c>
      <c r="P38" s="240"/>
      <c r="Q38" s="230"/>
      <c r="R38" s="236">
        <v>0.7087</v>
      </c>
      <c r="S38" s="243"/>
      <c r="T38" s="242">
        <v>18</v>
      </c>
    </row>
    <row r="39" spans="1:20" ht="9" customHeight="1">
      <c r="A39" s="230"/>
      <c r="B39" s="236">
        <v>0.0181</v>
      </c>
      <c r="C39" s="231"/>
      <c r="D39" s="240">
        <v>0.46</v>
      </c>
      <c r="E39" s="230"/>
      <c r="F39" s="236">
        <v>0.08660000000000001</v>
      </c>
      <c r="G39" s="231"/>
      <c r="H39" s="240">
        <v>2.2</v>
      </c>
      <c r="I39" s="230"/>
      <c r="J39" s="236">
        <v>0.1929</v>
      </c>
      <c r="K39" s="231"/>
      <c r="L39" s="240">
        <v>4.9</v>
      </c>
      <c r="M39" s="230"/>
      <c r="N39" s="236">
        <v>0.3248</v>
      </c>
      <c r="O39" s="231"/>
      <c r="P39" s="240">
        <v>8.25</v>
      </c>
      <c r="Q39" s="230" t="s">
        <v>918</v>
      </c>
      <c r="R39" s="236">
        <v>0.7188</v>
      </c>
      <c r="S39" s="243"/>
      <c r="T39" s="242"/>
    </row>
    <row r="40" spans="1:20" ht="9" customHeight="1">
      <c r="A40" s="230"/>
      <c r="B40" s="236">
        <v>0.0189</v>
      </c>
      <c r="C40" s="231"/>
      <c r="D40" s="240">
        <v>0.48</v>
      </c>
      <c r="E40" s="230"/>
      <c r="F40" s="236">
        <v>0.0886</v>
      </c>
      <c r="G40" s="231"/>
      <c r="H40" s="240">
        <v>2.25</v>
      </c>
      <c r="I40" s="230"/>
      <c r="J40" s="236">
        <v>0.1935</v>
      </c>
      <c r="K40" s="231">
        <v>10</v>
      </c>
      <c r="L40" s="240"/>
      <c r="M40" s="230"/>
      <c r="N40" s="236">
        <v>0.3268</v>
      </c>
      <c r="O40" s="231"/>
      <c r="P40" s="240">
        <v>8.3</v>
      </c>
      <c r="Q40" s="230"/>
      <c r="R40" s="236">
        <v>0.7283</v>
      </c>
      <c r="S40" s="243"/>
      <c r="T40" s="242">
        <v>18.5</v>
      </c>
    </row>
    <row r="41" spans="1:20" ht="9" customHeight="1">
      <c r="A41" s="230"/>
      <c r="B41" s="236">
        <v>0.0197</v>
      </c>
      <c r="C41" s="231"/>
      <c r="D41" s="240">
        <v>0.5</v>
      </c>
      <c r="E41" s="230"/>
      <c r="F41" s="236">
        <v>0.089</v>
      </c>
      <c r="G41" s="231">
        <v>43</v>
      </c>
      <c r="H41" s="240"/>
      <c r="I41" s="230"/>
      <c r="J41" s="236">
        <v>0.196</v>
      </c>
      <c r="K41" s="231">
        <v>9</v>
      </c>
      <c r="L41" s="240"/>
      <c r="M41" s="230" t="s">
        <v>226</v>
      </c>
      <c r="N41" s="236">
        <v>0.3281</v>
      </c>
      <c r="O41" s="231"/>
      <c r="P41" s="240"/>
      <c r="Q41" s="230" t="s">
        <v>921</v>
      </c>
      <c r="R41" s="236">
        <v>0.7344</v>
      </c>
      <c r="S41" s="243"/>
      <c r="T41" s="242"/>
    </row>
    <row r="42" spans="1:20" ht="9" customHeight="1">
      <c r="A42" s="230"/>
      <c r="B42" s="236">
        <v>0.02</v>
      </c>
      <c r="C42" s="231">
        <v>76</v>
      </c>
      <c r="D42" s="240"/>
      <c r="E42" s="230"/>
      <c r="F42" s="236">
        <v>0.0906</v>
      </c>
      <c r="G42" s="231"/>
      <c r="H42" s="240">
        <v>2.3</v>
      </c>
      <c r="I42" s="230"/>
      <c r="J42" s="236">
        <v>0.1969</v>
      </c>
      <c r="K42" s="231"/>
      <c r="L42" s="240">
        <v>5</v>
      </c>
      <c r="M42" s="230"/>
      <c r="N42" s="236">
        <v>0.3307</v>
      </c>
      <c r="O42" s="231"/>
      <c r="P42" s="240">
        <v>8.4</v>
      </c>
      <c r="Q42" s="230"/>
      <c r="R42" s="236">
        <v>0.748</v>
      </c>
      <c r="S42" s="243"/>
      <c r="T42" s="242">
        <v>19</v>
      </c>
    </row>
    <row r="43" spans="1:20" ht="9" customHeight="1">
      <c r="A43" s="230"/>
      <c r="B43" s="236">
        <v>0.021</v>
      </c>
      <c r="C43" s="231">
        <v>75</v>
      </c>
      <c r="D43" s="240"/>
      <c r="E43" s="230"/>
      <c r="F43" s="236">
        <v>0.0925</v>
      </c>
      <c r="G43" s="231"/>
      <c r="H43" s="240">
        <v>2.35</v>
      </c>
      <c r="I43" s="230"/>
      <c r="J43" s="236">
        <v>0.199</v>
      </c>
      <c r="K43" s="231">
        <v>8</v>
      </c>
      <c r="L43" s="240"/>
      <c r="M43" s="230"/>
      <c r="N43" s="236">
        <v>0.332</v>
      </c>
      <c r="O43" s="231" t="s">
        <v>920</v>
      </c>
      <c r="P43" s="240"/>
      <c r="Q43" s="230" t="s">
        <v>924</v>
      </c>
      <c r="R43" s="236">
        <v>0.75</v>
      </c>
      <c r="S43" s="243"/>
      <c r="T43" s="242"/>
    </row>
    <row r="44" spans="1:20" ht="9" customHeight="1">
      <c r="A44" s="230"/>
      <c r="B44" s="236">
        <v>0.0217</v>
      </c>
      <c r="C44" s="231"/>
      <c r="D44" s="240">
        <v>0.55</v>
      </c>
      <c r="E44" s="230"/>
      <c r="F44" s="236">
        <v>0.0935</v>
      </c>
      <c r="G44" s="231">
        <v>42</v>
      </c>
      <c r="H44" s="240"/>
      <c r="I44" s="230"/>
      <c r="J44" s="236">
        <v>0.2008</v>
      </c>
      <c r="K44" s="231"/>
      <c r="L44" s="240">
        <v>5.1</v>
      </c>
      <c r="M44" s="230"/>
      <c r="N44" s="236">
        <v>0.3346</v>
      </c>
      <c r="O44" s="231"/>
      <c r="P44" s="240">
        <v>8.5</v>
      </c>
      <c r="Q44" s="230" t="s">
        <v>927</v>
      </c>
      <c r="R44" s="236">
        <v>0.7656</v>
      </c>
      <c r="S44" s="243"/>
      <c r="T44" s="242"/>
    </row>
    <row r="45" spans="1:20" ht="9" customHeight="1">
      <c r="A45" s="230"/>
      <c r="B45" s="236">
        <v>0.0225</v>
      </c>
      <c r="C45" s="231">
        <v>74</v>
      </c>
      <c r="D45" s="240"/>
      <c r="E45" s="230" t="s">
        <v>225</v>
      </c>
      <c r="F45" s="236">
        <v>0.09380000000000001</v>
      </c>
      <c r="G45" s="231"/>
      <c r="H45" s="240"/>
      <c r="I45" s="230"/>
      <c r="J45" s="236">
        <v>0.201</v>
      </c>
      <c r="K45" s="231">
        <v>7</v>
      </c>
      <c r="L45" s="240"/>
      <c r="M45" s="230"/>
      <c r="N45" s="236">
        <v>0.3386</v>
      </c>
      <c r="O45" s="231"/>
      <c r="P45" s="240">
        <v>8.6</v>
      </c>
      <c r="Q45" s="230"/>
      <c r="R45" s="236">
        <v>0.7677</v>
      </c>
      <c r="S45" s="243"/>
      <c r="T45" s="242">
        <v>19.5</v>
      </c>
    </row>
    <row r="46" spans="1:20" ht="9" customHeight="1">
      <c r="A46" s="230"/>
      <c r="B46" s="236">
        <v>0.0236</v>
      </c>
      <c r="C46" s="231"/>
      <c r="D46" s="240">
        <v>0.6</v>
      </c>
      <c r="E46" s="230"/>
      <c r="F46" s="236">
        <v>0.0945</v>
      </c>
      <c r="G46" s="231"/>
      <c r="H46" s="240">
        <v>2.4</v>
      </c>
      <c r="I46" s="230" t="s">
        <v>922</v>
      </c>
      <c r="J46" s="236">
        <v>0.2031</v>
      </c>
      <c r="K46" s="231"/>
      <c r="L46" s="240"/>
      <c r="M46" s="230"/>
      <c r="N46" s="236">
        <v>0.339</v>
      </c>
      <c r="O46" s="231" t="s">
        <v>926</v>
      </c>
      <c r="P46" s="240"/>
      <c r="Q46" s="230" t="s">
        <v>930</v>
      </c>
      <c r="R46" s="236">
        <v>0.7812</v>
      </c>
      <c r="S46" s="243"/>
      <c r="T46" s="242"/>
    </row>
    <row r="47" spans="1:20" ht="9" customHeight="1">
      <c r="A47" s="230"/>
      <c r="B47" s="236">
        <v>0.024</v>
      </c>
      <c r="C47" s="231">
        <v>73</v>
      </c>
      <c r="D47" s="240"/>
      <c r="E47" s="230"/>
      <c r="F47" s="236">
        <v>0.096</v>
      </c>
      <c r="G47" s="231">
        <v>41</v>
      </c>
      <c r="H47" s="240"/>
      <c r="I47" s="230"/>
      <c r="J47" s="236">
        <v>0.20400000000000001</v>
      </c>
      <c r="K47" s="231">
        <v>6</v>
      </c>
      <c r="L47" s="240"/>
      <c r="M47" s="230"/>
      <c r="N47" s="236">
        <v>0.3425</v>
      </c>
      <c r="O47" s="231"/>
      <c r="P47" s="240">
        <v>8.7</v>
      </c>
      <c r="Q47" s="230"/>
      <c r="R47" s="236">
        <v>0.7874</v>
      </c>
      <c r="S47" s="243"/>
      <c r="T47" s="242">
        <v>20</v>
      </c>
    </row>
    <row r="48" spans="1:20" ht="9" customHeight="1">
      <c r="A48" s="230"/>
      <c r="B48" s="236">
        <v>0.025</v>
      </c>
      <c r="C48" s="231">
        <v>72</v>
      </c>
      <c r="D48" s="240"/>
      <c r="E48" s="230"/>
      <c r="F48" s="236">
        <v>0.0965</v>
      </c>
      <c r="G48" s="231"/>
      <c r="H48" s="240">
        <v>2.45</v>
      </c>
      <c r="I48" s="230"/>
      <c r="J48" s="236">
        <v>0.2047</v>
      </c>
      <c r="K48" s="231"/>
      <c r="L48" s="240">
        <v>5.2</v>
      </c>
      <c r="M48" s="230" t="s">
        <v>929</v>
      </c>
      <c r="N48" s="236">
        <v>0.3438</v>
      </c>
      <c r="O48" s="231"/>
      <c r="P48" s="240"/>
      <c r="Q48" s="230" t="s">
        <v>932</v>
      </c>
      <c r="R48" s="236">
        <v>0.7969</v>
      </c>
      <c r="S48" s="243"/>
      <c r="T48" s="242"/>
    </row>
    <row r="49" spans="1:20" ht="9" customHeight="1">
      <c r="A49" s="230"/>
      <c r="B49" s="236">
        <v>0.0256</v>
      </c>
      <c r="C49" s="231"/>
      <c r="D49" s="240">
        <v>0.65</v>
      </c>
      <c r="E49" s="230"/>
      <c r="F49" s="236">
        <v>0.098</v>
      </c>
      <c r="G49" s="231">
        <v>40</v>
      </c>
      <c r="H49" s="240"/>
      <c r="I49" s="230"/>
      <c r="J49" s="236">
        <v>0.20550000000000002</v>
      </c>
      <c r="K49" s="231">
        <v>5</v>
      </c>
      <c r="L49" s="240"/>
      <c r="M49" s="230"/>
      <c r="N49" s="236">
        <v>0.34450000000000003</v>
      </c>
      <c r="O49" s="231"/>
      <c r="P49" s="240">
        <v>8.75</v>
      </c>
      <c r="Q49" s="230"/>
      <c r="R49" s="236">
        <v>0.8071</v>
      </c>
      <c r="S49" s="243"/>
      <c r="T49" s="242">
        <v>20.5</v>
      </c>
    </row>
    <row r="50" spans="1:20" ht="9" customHeight="1">
      <c r="A50" s="230"/>
      <c r="B50" s="236">
        <v>0.026</v>
      </c>
      <c r="C50" s="231">
        <v>71</v>
      </c>
      <c r="D50" s="240"/>
      <c r="E50" s="230"/>
      <c r="F50" s="236">
        <v>0.0984</v>
      </c>
      <c r="G50" s="231"/>
      <c r="H50" s="240">
        <v>2.5</v>
      </c>
      <c r="I50" s="230"/>
      <c r="J50" s="236">
        <v>0.2067</v>
      </c>
      <c r="K50" s="231"/>
      <c r="L50" s="240">
        <v>5.25</v>
      </c>
      <c r="M50" s="230"/>
      <c r="N50" s="236">
        <v>0.34650000000000003</v>
      </c>
      <c r="O50" s="231"/>
      <c r="P50" s="240">
        <v>8.8</v>
      </c>
      <c r="Q50" s="230" t="s">
        <v>935</v>
      </c>
      <c r="R50" s="236">
        <v>0.8125</v>
      </c>
      <c r="S50" s="243"/>
      <c r="T50" s="242"/>
    </row>
    <row r="51" spans="1:20" ht="9" customHeight="1">
      <c r="A51" s="230"/>
      <c r="B51" s="236">
        <v>0.0276</v>
      </c>
      <c r="C51" s="231"/>
      <c r="D51" s="240">
        <v>0.7</v>
      </c>
      <c r="E51" s="230"/>
      <c r="F51" s="236">
        <v>0.0995</v>
      </c>
      <c r="G51" s="231">
        <v>39</v>
      </c>
      <c r="H51" s="240"/>
      <c r="I51" s="230"/>
      <c r="J51" s="236">
        <v>0.2087</v>
      </c>
      <c r="K51" s="231"/>
      <c r="L51" s="240">
        <v>5.3</v>
      </c>
      <c r="M51" s="230"/>
      <c r="N51" s="236">
        <v>0.34800000000000003</v>
      </c>
      <c r="O51" s="231" t="s">
        <v>933</v>
      </c>
      <c r="P51" s="240"/>
      <c r="Q51" s="230"/>
      <c r="R51" s="236">
        <v>0.8268</v>
      </c>
      <c r="S51" s="243"/>
      <c r="T51" s="242">
        <v>21</v>
      </c>
    </row>
    <row r="52" spans="1:20" ht="9" customHeight="1">
      <c r="A52" s="230"/>
      <c r="B52" s="236">
        <v>0.028</v>
      </c>
      <c r="C52" s="231">
        <v>70</v>
      </c>
      <c r="D52" s="240"/>
      <c r="E52" s="230"/>
      <c r="F52" s="236">
        <v>0.1015</v>
      </c>
      <c r="G52" s="231">
        <v>38</v>
      </c>
      <c r="H52" s="240"/>
      <c r="I52" s="230"/>
      <c r="J52" s="236">
        <v>0.209</v>
      </c>
      <c r="K52" s="231">
        <v>4</v>
      </c>
      <c r="L52" s="240"/>
      <c r="M52" s="230"/>
      <c r="N52" s="236">
        <v>0.3504</v>
      </c>
      <c r="O52" s="231"/>
      <c r="P52" s="240">
        <v>8.9</v>
      </c>
      <c r="Q52" s="230" t="s">
        <v>940</v>
      </c>
      <c r="R52" s="236">
        <v>0.8281</v>
      </c>
      <c r="S52" s="243"/>
      <c r="T52" s="242"/>
    </row>
    <row r="53" spans="1:20" ht="9" customHeight="1">
      <c r="A53" s="230"/>
      <c r="B53" s="236">
        <v>0.0292</v>
      </c>
      <c r="C53" s="231">
        <v>69</v>
      </c>
      <c r="D53" s="240"/>
      <c r="E53" s="230"/>
      <c r="F53" s="236">
        <v>0.1024</v>
      </c>
      <c r="G53" s="231"/>
      <c r="H53" s="240">
        <v>2.6</v>
      </c>
      <c r="I53" s="230"/>
      <c r="J53" s="236">
        <v>0.2126</v>
      </c>
      <c r="K53" s="231"/>
      <c r="L53" s="240">
        <v>5.4</v>
      </c>
      <c r="M53" s="230"/>
      <c r="N53" s="236">
        <v>0.3543</v>
      </c>
      <c r="O53" s="231"/>
      <c r="P53" s="240">
        <v>9</v>
      </c>
      <c r="Q53" s="230" t="s">
        <v>942</v>
      </c>
      <c r="R53" s="236">
        <v>0.8438</v>
      </c>
      <c r="S53" s="243"/>
      <c r="T53" s="242"/>
    </row>
    <row r="54" spans="1:20" ht="9" customHeight="1">
      <c r="A54" s="230"/>
      <c r="B54" s="236">
        <v>0.0295</v>
      </c>
      <c r="C54" s="231"/>
      <c r="D54" s="240">
        <v>0.75</v>
      </c>
      <c r="E54" s="230"/>
      <c r="F54" s="236">
        <v>0.10400000000000001</v>
      </c>
      <c r="G54" s="231">
        <v>37</v>
      </c>
      <c r="H54" s="240"/>
      <c r="I54" s="230"/>
      <c r="J54" s="236">
        <v>0.213</v>
      </c>
      <c r="K54" s="231">
        <v>3</v>
      </c>
      <c r="L54" s="240"/>
      <c r="M54" s="230"/>
      <c r="N54" s="236">
        <v>0.358</v>
      </c>
      <c r="O54" s="231" t="s">
        <v>939</v>
      </c>
      <c r="P54" s="240"/>
      <c r="Q54" s="230"/>
      <c r="R54" s="236">
        <v>0.8465</v>
      </c>
      <c r="S54" s="243"/>
      <c r="T54" s="242">
        <v>21.5</v>
      </c>
    </row>
    <row r="55" spans="1:20" ht="9" customHeight="1">
      <c r="A55" s="230"/>
      <c r="B55" s="236">
        <v>0.031</v>
      </c>
      <c r="C55" s="231">
        <v>68</v>
      </c>
      <c r="D55" s="240"/>
      <c r="E55" s="230"/>
      <c r="F55" s="236">
        <v>0.1063</v>
      </c>
      <c r="G55" s="231"/>
      <c r="H55" s="240">
        <v>2.7</v>
      </c>
      <c r="I55" s="230"/>
      <c r="J55" s="236">
        <v>0.2165</v>
      </c>
      <c r="K55" s="231"/>
      <c r="L55" s="240">
        <v>5.5</v>
      </c>
      <c r="M55" s="230"/>
      <c r="N55" s="236">
        <v>0.3583</v>
      </c>
      <c r="O55" s="231"/>
      <c r="P55" s="240">
        <v>9.1</v>
      </c>
      <c r="Q55" s="230" t="s">
        <v>945</v>
      </c>
      <c r="R55" s="236">
        <v>0.8594</v>
      </c>
      <c r="S55" s="243"/>
      <c r="T55" s="242"/>
    </row>
    <row r="56" spans="1:20" ht="9" customHeight="1">
      <c r="A56" s="230" t="s">
        <v>954</v>
      </c>
      <c r="B56" s="236">
        <v>0.0312</v>
      </c>
      <c r="C56" s="231"/>
      <c r="D56" s="240"/>
      <c r="E56" s="230"/>
      <c r="F56" s="236">
        <v>0.1065</v>
      </c>
      <c r="G56" s="231">
        <v>36</v>
      </c>
      <c r="H56" s="240"/>
      <c r="I56" s="230" t="s">
        <v>938</v>
      </c>
      <c r="J56" s="236">
        <v>0.2188</v>
      </c>
      <c r="K56" s="231"/>
      <c r="L56" s="240"/>
      <c r="M56" s="230" t="s">
        <v>943</v>
      </c>
      <c r="N56" s="236">
        <v>0.3594</v>
      </c>
      <c r="O56" s="231"/>
      <c r="P56" s="240"/>
      <c r="Q56" s="230"/>
      <c r="R56" s="236">
        <v>0.8661</v>
      </c>
      <c r="S56" s="243"/>
      <c r="T56" s="242">
        <v>22</v>
      </c>
    </row>
    <row r="57" spans="1:20" ht="9" customHeight="1">
      <c r="A57" s="230"/>
      <c r="B57" s="236">
        <v>0.0315</v>
      </c>
      <c r="C57" s="231"/>
      <c r="D57" s="240">
        <v>0.8</v>
      </c>
      <c r="E57" s="230"/>
      <c r="F57" s="236">
        <v>0.1083</v>
      </c>
      <c r="G57" s="231"/>
      <c r="H57" s="240">
        <v>2.75</v>
      </c>
      <c r="I57" s="230"/>
      <c r="J57" s="236">
        <v>0.2205</v>
      </c>
      <c r="K57" s="231"/>
      <c r="L57" s="240">
        <v>5.6</v>
      </c>
      <c r="M57" s="230"/>
      <c r="N57" s="236">
        <v>0.3622</v>
      </c>
      <c r="O57" s="231"/>
      <c r="P57" s="240">
        <v>9.2</v>
      </c>
      <c r="Q57" s="230" t="s">
        <v>947</v>
      </c>
      <c r="R57" s="236">
        <v>0.875</v>
      </c>
      <c r="S57" s="243"/>
      <c r="T57" s="242"/>
    </row>
    <row r="58" spans="1:20" ht="9" customHeight="1">
      <c r="A58" s="230"/>
      <c r="B58" s="236">
        <v>0.032</v>
      </c>
      <c r="C58" s="231">
        <v>67</v>
      </c>
      <c r="D58" s="240"/>
      <c r="E58" s="230" t="s">
        <v>937</v>
      </c>
      <c r="F58" s="236">
        <v>0.1094</v>
      </c>
      <c r="G58" s="231"/>
      <c r="H58" s="240"/>
      <c r="I58" s="230"/>
      <c r="J58" s="236">
        <v>0.221</v>
      </c>
      <c r="K58" s="231">
        <v>2</v>
      </c>
      <c r="L58" s="240"/>
      <c r="M58" s="230"/>
      <c r="N58" s="236">
        <v>0.3642</v>
      </c>
      <c r="O58" s="231"/>
      <c r="P58" s="240">
        <v>9.25</v>
      </c>
      <c r="Q58" s="230"/>
      <c r="R58" s="236">
        <v>0.8858</v>
      </c>
      <c r="S58" s="243"/>
      <c r="T58" s="242">
        <v>22.5</v>
      </c>
    </row>
    <row r="59" spans="1:20" ht="9" customHeight="1">
      <c r="A59" s="230"/>
      <c r="B59" s="236">
        <v>0.033</v>
      </c>
      <c r="C59" s="231">
        <v>66</v>
      </c>
      <c r="D59" s="240"/>
      <c r="E59" s="230"/>
      <c r="F59" s="236">
        <v>0.11</v>
      </c>
      <c r="G59" s="231">
        <v>35</v>
      </c>
      <c r="H59" s="240"/>
      <c r="I59" s="230"/>
      <c r="J59" s="236">
        <v>0.2244</v>
      </c>
      <c r="K59" s="231"/>
      <c r="L59" s="240">
        <v>5.7</v>
      </c>
      <c r="M59" s="230"/>
      <c r="N59" s="236">
        <v>0.3661</v>
      </c>
      <c r="O59" s="231"/>
      <c r="P59" s="240">
        <v>9.3</v>
      </c>
      <c r="Q59" s="230" t="s">
        <v>950</v>
      </c>
      <c r="R59" s="236">
        <v>0.8906</v>
      </c>
      <c r="S59" s="243"/>
      <c r="T59" s="242"/>
    </row>
    <row r="60" spans="1:20" ht="9" customHeight="1">
      <c r="A60" s="230"/>
      <c r="B60" s="236">
        <v>0.0335</v>
      </c>
      <c r="C60" s="231"/>
      <c r="D60" s="240">
        <v>0.85</v>
      </c>
      <c r="E60" s="230"/>
      <c r="F60" s="236">
        <v>0.1102</v>
      </c>
      <c r="G60" s="231"/>
      <c r="H60" s="240">
        <v>2.8</v>
      </c>
      <c r="I60" s="230"/>
      <c r="J60" s="236">
        <v>0.2264</v>
      </c>
      <c r="K60" s="231"/>
      <c r="L60" s="240">
        <v>5.75</v>
      </c>
      <c r="M60" s="230"/>
      <c r="N60" s="236">
        <v>0.368</v>
      </c>
      <c r="O60" s="231" t="s">
        <v>948</v>
      </c>
      <c r="P60" s="240"/>
      <c r="Q60" s="230"/>
      <c r="R60" s="236">
        <v>0.9055</v>
      </c>
      <c r="S60" s="243"/>
      <c r="T60" s="242">
        <v>23</v>
      </c>
    </row>
    <row r="61" spans="1:20" ht="9" customHeight="1">
      <c r="A61" s="230"/>
      <c r="B61" s="236">
        <v>0.035</v>
      </c>
      <c r="C61" s="231">
        <v>65</v>
      </c>
      <c r="D61" s="240"/>
      <c r="E61" s="230"/>
      <c r="F61" s="236">
        <v>0.111</v>
      </c>
      <c r="G61" s="231">
        <v>34</v>
      </c>
      <c r="H61" s="240"/>
      <c r="I61" s="230"/>
      <c r="J61" s="236">
        <v>0.228</v>
      </c>
      <c r="K61" s="231">
        <v>1</v>
      </c>
      <c r="L61" s="240"/>
      <c r="M61" s="230"/>
      <c r="N61" s="236">
        <v>0.3701</v>
      </c>
      <c r="O61" s="231"/>
      <c r="P61" s="240">
        <v>9.4</v>
      </c>
      <c r="Q61" s="230" t="s">
        <v>146</v>
      </c>
      <c r="R61" s="236">
        <v>0.9062</v>
      </c>
      <c r="S61" s="243"/>
      <c r="T61" s="242"/>
    </row>
    <row r="62" spans="1:20" ht="9" customHeight="1">
      <c r="A62" s="230"/>
      <c r="B62" s="236">
        <v>0.0354</v>
      </c>
      <c r="C62" s="231"/>
      <c r="D62" s="240">
        <v>0.9</v>
      </c>
      <c r="E62" s="230"/>
      <c r="F62" s="236">
        <v>0.113</v>
      </c>
      <c r="G62" s="231">
        <v>33</v>
      </c>
      <c r="H62" s="240"/>
      <c r="I62" s="230"/>
      <c r="J62" s="236">
        <v>0.2283</v>
      </c>
      <c r="K62" s="231"/>
      <c r="L62" s="240">
        <v>5.8</v>
      </c>
      <c r="M62" s="230"/>
      <c r="N62" s="236">
        <v>0.374</v>
      </c>
      <c r="O62" s="231"/>
      <c r="P62" s="240">
        <v>9.5</v>
      </c>
      <c r="Q62" s="230" t="s">
        <v>149</v>
      </c>
      <c r="R62" s="236">
        <v>0.9219</v>
      </c>
      <c r="S62" s="243"/>
      <c r="T62" s="242"/>
    </row>
    <row r="63" spans="1:20" ht="9" customHeight="1">
      <c r="A63" s="230"/>
      <c r="B63" s="236">
        <v>0.036</v>
      </c>
      <c r="C63" s="231">
        <v>64</v>
      </c>
      <c r="D63" s="240"/>
      <c r="E63" s="230"/>
      <c r="F63" s="236">
        <v>0.1142</v>
      </c>
      <c r="G63" s="231"/>
      <c r="H63" s="240">
        <v>2.9</v>
      </c>
      <c r="I63" s="230"/>
      <c r="J63" s="236">
        <v>0.2323</v>
      </c>
      <c r="K63" s="231"/>
      <c r="L63" s="240">
        <v>5.9</v>
      </c>
      <c r="M63" s="230" t="s">
        <v>145</v>
      </c>
      <c r="N63" s="236">
        <v>0.375</v>
      </c>
      <c r="O63" s="231"/>
      <c r="P63" s="240"/>
      <c r="Q63" s="230"/>
      <c r="R63" s="236">
        <v>0.9252</v>
      </c>
      <c r="S63" s="243"/>
      <c r="T63" s="242">
        <v>23.5</v>
      </c>
    </row>
    <row r="64" spans="1:20" ht="9" customHeight="1">
      <c r="A64" s="230"/>
      <c r="B64" s="236">
        <v>0.037</v>
      </c>
      <c r="C64" s="231">
        <v>63</v>
      </c>
      <c r="D64" s="240"/>
      <c r="E64" s="230"/>
      <c r="F64" s="236">
        <v>0.116</v>
      </c>
      <c r="G64" s="231">
        <v>32</v>
      </c>
      <c r="H64" s="240"/>
      <c r="I64" s="230"/>
      <c r="J64" s="236">
        <v>0.234</v>
      </c>
      <c r="K64" s="231" t="s">
        <v>952</v>
      </c>
      <c r="L64" s="240"/>
      <c r="M64" s="230"/>
      <c r="N64" s="236">
        <v>0.377</v>
      </c>
      <c r="O64" s="231" t="s">
        <v>148</v>
      </c>
      <c r="P64" s="240"/>
      <c r="Q64" s="230" t="s">
        <v>151</v>
      </c>
      <c r="R64" s="236">
        <v>0.9375</v>
      </c>
      <c r="S64" s="243"/>
      <c r="T64" s="242"/>
    </row>
    <row r="65" spans="1:20" ht="9" customHeight="1">
      <c r="A65" s="230"/>
      <c r="B65" s="236">
        <v>0.0374</v>
      </c>
      <c r="C65" s="231"/>
      <c r="D65" s="240">
        <v>0.95</v>
      </c>
      <c r="E65" s="230"/>
      <c r="F65" s="236">
        <v>0.1181</v>
      </c>
      <c r="G65" s="231"/>
      <c r="H65" s="240">
        <v>3</v>
      </c>
      <c r="I65" s="230" t="s">
        <v>144</v>
      </c>
      <c r="J65" s="236">
        <v>0.2344</v>
      </c>
      <c r="K65" s="231"/>
      <c r="L65" s="240"/>
      <c r="M65" s="230"/>
      <c r="N65" s="236">
        <v>0.378</v>
      </c>
      <c r="O65" s="231"/>
      <c r="P65" s="240">
        <v>9.6</v>
      </c>
      <c r="Q65" s="230"/>
      <c r="R65" s="236">
        <v>0.9449</v>
      </c>
      <c r="S65" s="243"/>
      <c r="T65" s="242">
        <v>24</v>
      </c>
    </row>
    <row r="66" spans="1:20" ht="9" customHeight="1">
      <c r="A66" s="230"/>
      <c r="B66" s="236">
        <v>0.038</v>
      </c>
      <c r="C66" s="231">
        <v>62</v>
      </c>
      <c r="D66" s="240"/>
      <c r="E66" s="230"/>
      <c r="F66" s="236">
        <v>0.12</v>
      </c>
      <c r="G66" s="231">
        <v>31</v>
      </c>
      <c r="H66" s="240"/>
      <c r="I66" s="230"/>
      <c r="J66" s="236">
        <v>0.2362</v>
      </c>
      <c r="K66" s="231"/>
      <c r="L66" s="240">
        <v>6</v>
      </c>
      <c r="M66" s="230"/>
      <c r="N66" s="236">
        <v>0.3819</v>
      </c>
      <c r="O66" s="231"/>
      <c r="P66" s="240">
        <v>9.7</v>
      </c>
      <c r="Q66" s="230" t="s">
        <v>153</v>
      </c>
      <c r="R66" s="236">
        <v>0.9531</v>
      </c>
      <c r="S66" s="243"/>
      <c r="T66" s="242"/>
    </row>
    <row r="67" spans="1:20" ht="9" customHeight="1">
      <c r="A67" s="230"/>
      <c r="B67" s="236">
        <v>0.039</v>
      </c>
      <c r="C67" s="231">
        <v>61</v>
      </c>
      <c r="D67" s="240"/>
      <c r="E67" s="230"/>
      <c r="F67" s="236">
        <v>0.122</v>
      </c>
      <c r="G67" s="231"/>
      <c r="H67" s="240">
        <v>3.1</v>
      </c>
      <c r="I67" s="230"/>
      <c r="J67" s="236">
        <v>0.23800000000000002</v>
      </c>
      <c r="K67" s="231" t="s">
        <v>150</v>
      </c>
      <c r="L67" s="240"/>
      <c r="M67" s="230"/>
      <c r="N67" s="236">
        <v>0.3839</v>
      </c>
      <c r="O67" s="231"/>
      <c r="P67" s="240">
        <v>9.75</v>
      </c>
      <c r="Q67" s="230"/>
      <c r="R67" s="236">
        <v>0.9646</v>
      </c>
      <c r="S67" s="243"/>
      <c r="T67" s="242">
        <v>24.5</v>
      </c>
    </row>
    <row r="68" spans="1:20" ht="9" customHeight="1">
      <c r="A68" s="230"/>
      <c r="B68" s="236">
        <v>0.0394</v>
      </c>
      <c r="C68" s="231"/>
      <c r="D68" s="240">
        <v>1</v>
      </c>
      <c r="E68" s="230" t="s">
        <v>147</v>
      </c>
      <c r="F68" s="236">
        <v>0.125</v>
      </c>
      <c r="G68" s="231"/>
      <c r="H68" s="240"/>
      <c r="I68" s="230"/>
      <c r="J68" s="236">
        <v>0.2402</v>
      </c>
      <c r="K68" s="231"/>
      <c r="L68" s="240">
        <v>6.1</v>
      </c>
      <c r="M68" s="230"/>
      <c r="N68" s="236">
        <v>0.3858</v>
      </c>
      <c r="O68" s="231"/>
      <c r="P68" s="240">
        <v>9.8</v>
      </c>
      <c r="Q68" s="230" t="s">
        <v>156</v>
      </c>
      <c r="R68" s="236">
        <v>0.9688</v>
      </c>
      <c r="S68" s="243"/>
      <c r="T68" s="242"/>
    </row>
    <row r="69" spans="1:20" ht="9" customHeight="1">
      <c r="A69" s="230"/>
      <c r="B69" s="236">
        <v>0.04</v>
      </c>
      <c r="C69" s="231">
        <v>60</v>
      </c>
      <c r="D69" s="240"/>
      <c r="E69" s="230"/>
      <c r="F69" s="236">
        <v>0.126</v>
      </c>
      <c r="G69" s="231"/>
      <c r="H69" s="240">
        <v>3.2</v>
      </c>
      <c r="I69" s="230"/>
      <c r="J69" s="236">
        <v>0.242</v>
      </c>
      <c r="K69" s="231" t="s">
        <v>152</v>
      </c>
      <c r="L69" s="240"/>
      <c r="M69" s="230"/>
      <c r="N69" s="236">
        <v>0.386</v>
      </c>
      <c r="O69" s="231" t="s">
        <v>155</v>
      </c>
      <c r="P69" s="240"/>
      <c r="Q69" s="230"/>
      <c r="R69" s="236">
        <v>0.9843</v>
      </c>
      <c r="S69" s="243"/>
      <c r="T69" s="242">
        <v>25</v>
      </c>
    </row>
    <row r="70" spans="1:20" ht="9" customHeight="1">
      <c r="A70" s="230"/>
      <c r="B70" s="236">
        <v>0.041</v>
      </c>
      <c r="C70" s="231">
        <v>59</v>
      </c>
      <c r="D70" s="240"/>
      <c r="E70" s="230"/>
      <c r="F70" s="236">
        <v>0.128</v>
      </c>
      <c r="G70" s="231"/>
      <c r="H70" s="240">
        <v>3.25</v>
      </c>
      <c r="I70" s="230"/>
      <c r="J70" s="236">
        <v>0.2441</v>
      </c>
      <c r="K70" s="231"/>
      <c r="L70" s="240">
        <v>6.2</v>
      </c>
      <c r="M70" s="230"/>
      <c r="N70" s="236">
        <v>0.3898</v>
      </c>
      <c r="O70" s="231"/>
      <c r="P70" s="240">
        <v>9.9</v>
      </c>
      <c r="Q70" s="230" t="s">
        <v>161</v>
      </c>
      <c r="R70" s="236">
        <v>0.9844</v>
      </c>
      <c r="S70" s="243"/>
      <c r="T70" s="242"/>
    </row>
    <row r="71" spans="1:20" ht="9" customHeight="1">
      <c r="A71" s="230"/>
      <c r="B71" s="236">
        <v>0.0413</v>
      </c>
      <c r="C71" s="231"/>
      <c r="D71" s="240">
        <v>1.05</v>
      </c>
      <c r="E71" s="230"/>
      <c r="F71" s="236">
        <v>0.1285</v>
      </c>
      <c r="G71" s="231">
        <v>30</v>
      </c>
      <c r="H71" s="240"/>
      <c r="I71" s="230"/>
      <c r="J71" s="236">
        <v>0.246</v>
      </c>
      <c r="K71" s="231" t="s">
        <v>154</v>
      </c>
      <c r="L71" s="240"/>
      <c r="M71" s="230" t="s">
        <v>158</v>
      </c>
      <c r="N71" s="236">
        <v>0.3906</v>
      </c>
      <c r="O71" s="231"/>
      <c r="P71" s="240"/>
      <c r="Q71" s="230" t="s">
        <v>163</v>
      </c>
      <c r="R71" s="238">
        <v>1</v>
      </c>
      <c r="S71" s="244"/>
      <c r="T71" s="242"/>
    </row>
    <row r="72" spans="1:20" ht="9" customHeight="1">
      <c r="A72" s="230"/>
      <c r="B72" s="253">
        <v>0.042</v>
      </c>
      <c r="C72" s="245">
        <v>58</v>
      </c>
      <c r="D72" s="241"/>
      <c r="E72" s="230"/>
      <c r="F72" s="253">
        <v>0.1299</v>
      </c>
      <c r="G72" s="245"/>
      <c r="H72" s="246">
        <v>3.3</v>
      </c>
      <c r="I72" s="230"/>
      <c r="J72" s="253">
        <v>0.2461</v>
      </c>
      <c r="K72" s="245"/>
      <c r="L72" s="246">
        <v>6.25</v>
      </c>
      <c r="M72" s="230"/>
      <c r="N72" s="253">
        <v>0.3937</v>
      </c>
      <c r="O72" s="245"/>
      <c r="P72" s="246">
        <v>10</v>
      </c>
      <c r="Q72" s="230"/>
      <c r="R72" s="254">
        <v>1.0039</v>
      </c>
      <c r="S72" s="244"/>
      <c r="T72" s="242">
        <v>25.5</v>
      </c>
    </row>
    <row r="73" spans="1:20" ht="9" customHeight="1">
      <c r="A73" s="230"/>
      <c r="B73" s="238">
        <v>0.043000000000000003</v>
      </c>
      <c r="C73" s="247">
        <v>57</v>
      </c>
      <c r="D73" s="248"/>
      <c r="E73" s="230"/>
      <c r="F73" s="238">
        <v>0.1339</v>
      </c>
      <c r="G73" s="247"/>
      <c r="H73" s="248">
        <v>3.4</v>
      </c>
      <c r="I73" s="230"/>
      <c r="J73" s="238">
        <v>0.248</v>
      </c>
      <c r="K73" s="247"/>
      <c r="L73" s="248">
        <v>6.3</v>
      </c>
      <c r="M73" s="234"/>
      <c r="N73" s="238">
        <v>0.397</v>
      </c>
      <c r="O73" s="247" t="s">
        <v>120</v>
      </c>
      <c r="P73" s="248"/>
      <c r="Q73" s="230" t="s">
        <v>166</v>
      </c>
      <c r="R73" s="238">
        <v>1.0156</v>
      </c>
      <c r="S73" s="244"/>
      <c r="T73" s="242"/>
    </row>
    <row r="74" spans="1:20" ht="9" customHeight="1" thickBot="1">
      <c r="A74" s="228"/>
      <c r="B74" s="239">
        <v>0.043300000000000005</v>
      </c>
      <c r="C74" s="249"/>
      <c r="D74" s="250">
        <v>1.1</v>
      </c>
      <c r="E74" s="228"/>
      <c r="F74" s="239">
        <v>0.136</v>
      </c>
      <c r="G74" s="249">
        <v>29</v>
      </c>
      <c r="H74" s="250"/>
      <c r="I74" s="228" t="s">
        <v>159</v>
      </c>
      <c r="J74" s="239">
        <v>0.25</v>
      </c>
      <c r="K74" s="249" t="s">
        <v>160</v>
      </c>
      <c r="L74" s="250"/>
      <c r="M74" s="251"/>
      <c r="N74" s="239">
        <v>0.404</v>
      </c>
      <c r="O74" s="249" t="s">
        <v>101</v>
      </c>
      <c r="P74" s="250"/>
      <c r="Q74" s="228"/>
      <c r="R74" s="239">
        <v>1.0236</v>
      </c>
      <c r="S74" s="249"/>
      <c r="T74" s="252">
        <v>26</v>
      </c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300" verticalDpi="300" orientation="portrait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tabColor indexed="40"/>
    <pageSetUpPr fitToPage="1"/>
  </sheetPr>
  <dimension ref="B1:K52"/>
  <sheetViews>
    <sheetView showGridLines="0" showRowColHeaders="0" zoomScale="75" zoomScaleNormal="75" zoomScalePageLayoutView="0" workbookViewId="0" topLeftCell="A1">
      <selection activeCell="C7" sqref="C7"/>
    </sheetView>
  </sheetViews>
  <sheetFormatPr defaultColWidth="9.77734375" defaultRowHeight="15"/>
  <cols>
    <col min="1" max="1" width="1.77734375" style="96" customWidth="1"/>
    <col min="2" max="2" width="11.77734375" style="96" customWidth="1"/>
    <col min="3" max="3" width="8.77734375" style="96" customWidth="1"/>
    <col min="4" max="4" width="5.77734375" style="96" customWidth="1"/>
    <col min="5" max="6" width="8.77734375" style="96" customWidth="1"/>
    <col min="7" max="7" width="10.77734375" style="96" customWidth="1"/>
    <col min="8" max="8" width="5.77734375" style="96" customWidth="1"/>
    <col min="9" max="10" width="8.77734375" style="96" customWidth="1"/>
    <col min="11" max="11" width="10.77734375" style="96" customWidth="1"/>
    <col min="12" max="16384" width="9.77734375" style="96" customWidth="1"/>
  </cols>
  <sheetData>
    <row r="1" spans="2:11" ht="26.25">
      <c r="B1" s="93" t="s">
        <v>955</v>
      </c>
      <c r="C1" s="92"/>
      <c r="D1" s="92"/>
      <c r="E1" s="92"/>
      <c r="F1" s="92"/>
      <c r="G1" s="92"/>
      <c r="H1" s="92"/>
      <c r="I1" s="92"/>
      <c r="J1" s="92"/>
      <c r="K1" s="95"/>
    </row>
    <row r="2" spans="2:11" ht="22.5" customHeight="1">
      <c r="B2" s="94"/>
      <c r="C2" s="51"/>
      <c r="D2" s="128" t="s">
        <v>956</v>
      </c>
      <c r="E2" s="129" t="s">
        <v>957</v>
      </c>
      <c r="F2" s="129" t="s">
        <v>958</v>
      </c>
      <c r="G2" s="130" t="s">
        <v>90</v>
      </c>
      <c r="H2" s="128" t="s">
        <v>956</v>
      </c>
      <c r="I2" s="129" t="s">
        <v>957</v>
      </c>
      <c r="J2" s="129" t="s">
        <v>958</v>
      </c>
      <c r="K2" s="131" t="s">
        <v>90</v>
      </c>
    </row>
    <row r="3" spans="2:11" ht="15" customHeight="1">
      <c r="B3" s="107" t="s">
        <v>959</v>
      </c>
      <c r="C3" s="125"/>
      <c r="D3" s="158">
        <f>IF(C9="","",1)</f>
      </c>
      <c r="E3" s="159">
        <f>IF(D3="","",ROUND((C7+$C$13)/$C$17,0)*$C$17)</f>
      </c>
      <c r="F3" s="159">
        <f>IF(D3="","",ROUND((C8+$C$14)/$C$17,0)*$C$17)</f>
      </c>
      <c r="G3" s="160">
        <f>IF(D3="","",0)</f>
      </c>
      <c r="H3" s="158">
        <f>IF(D52=ABS($C$9),"",IF(D52="","",D52+1))</f>
      </c>
      <c r="I3" s="161">
        <f>IF(H3="","",ROUND((((COS(K3/180*PI())*$C$7)+(SIN(K3/180*PI())*$C$8))+$C$13)/$C$17,0)*$C$17)</f>
      </c>
      <c r="J3" s="161">
        <f>IF(H3="","",ROUND((((COS(K3/180*PI())*$C$8)-(SIN(K3/180*PI())*$C$7))+$C$14)/$C$17,0)*$C$17)</f>
      </c>
      <c r="K3" s="162">
        <f>IF(H3="","",G52+$G$4)</f>
      </c>
    </row>
    <row r="4" spans="2:11" ht="15.75">
      <c r="B4" s="124" t="s">
        <v>960</v>
      </c>
      <c r="C4" s="125"/>
      <c r="D4" s="158">
        <f>IF(D3=ABS($C$9),"",IF(D3="","",D3+1))</f>
      </c>
      <c r="E4" s="161">
        <f>IF(D4="","",ROUND((((COS(G4/180*PI())*$C$7)+(SIN(G4/180*PI())*$C$8))+$C$13)/$C$17,0)*$C$17)</f>
      </c>
      <c r="F4" s="161">
        <f>IF(D4="","",ROUND((((COS(G4/180*PI())*$C$8)-(SIN(G4/180*PI())*$C$7))+$C$14)/$C$17,0)*$C$17)</f>
      </c>
      <c r="G4" s="163">
        <f>IF(D4="","",360/C9)</f>
      </c>
      <c r="H4" s="158">
        <f>IF(H3=ABS($C$9),"",IF(H3="","",H3+1))</f>
      </c>
      <c r="I4" s="161">
        <f aca="true" t="shared" si="0" ref="I4:I52">IF(H4="","",ROUND((((COS(K4/180*PI())*$C$7)+(SIN(K4/180*PI())*$C$8))+$C$13)/$C$17,0)*$C$17)</f>
      </c>
      <c r="J4" s="161">
        <f aca="true" t="shared" si="1" ref="J4:J52">IF(H4="","",ROUND((((COS(K4/180*PI())*$C$8)-(SIN(K4/180*PI())*$C$7))+$C$14)/$C$17,0)*$C$17)</f>
      </c>
      <c r="K4" s="162">
        <f>IF(H4="","",K3+$G$4)</f>
      </c>
    </row>
    <row r="5" spans="2:11" ht="15.75">
      <c r="B5" s="107" t="s">
        <v>656</v>
      </c>
      <c r="C5" s="125"/>
      <c r="D5" s="158">
        <f aca="true" t="shared" si="2" ref="D5:D20">IF(D4=ABS($C$9),"",IF(D4="","",D4+1))</f>
      </c>
      <c r="E5" s="161">
        <f aca="true" t="shared" si="3" ref="E5:E52">IF(D5="","",ROUND((((COS(G5/180*PI())*$C$7)+(SIN(G5/180*PI())*$C$8))+$C$13)/$C$17,0)*$C$17)</f>
      </c>
      <c r="F5" s="161">
        <f aca="true" t="shared" si="4" ref="F5:F52">IF(D5="","",ROUND((((COS(G5/180*PI())*$C$8)-(SIN(G5/180*PI())*$C$7))+$C$14)/$C$17,0)*$C$17)</f>
      </c>
      <c r="G5" s="163">
        <f>IF(D5="","",G4*2)</f>
      </c>
      <c r="H5" s="158">
        <f aca="true" t="shared" si="5" ref="H5:H20">IF(H4=ABS($C$9),"",IF(H4="","",H4+1))</f>
      </c>
      <c r="I5" s="161">
        <f t="shared" si="0"/>
      </c>
      <c r="J5" s="161">
        <f t="shared" si="1"/>
      </c>
      <c r="K5" s="162">
        <f aca="true" t="shared" si="6" ref="K5:K20">IF(H5="","",K4+$G$4)</f>
      </c>
    </row>
    <row r="6" spans="2:11" ht="15.75">
      <c r="B6" s="126" t="s">
        <v>655</v>
      </c>
      <c r="C6" s="105"/>
      <c r="D6" s="158">
        <f t="shared" si="2"/>
      </c>
      <c r="E6" s="161">
        <f t="shared" si="3"/>
      </c>
      <c r="F6" s="161">
        <f t="shared" si="4"/>
      </c>
      <c r="G6" s="163">
        <f>IF(D6="","",G5+$G$4)</f>
      </c>
      <c r="H6" s="158">
        <f t="shared" si="5"/>
      </c>
      <c r="I6" s="161">
        <f t="shared" si="0"/>
      </c>
      <c r="J6" s="161">
        <f t="shared" si="1"/>
      </c>
      <c r="K6" s="162">
        <f t="shared" si="6"/>
      </c>
    </row>
    <row r="7" spans="2:11" ht="15">
      <c r="B7" s="97" t="s">
        <v>961</v>
      </c>
      <c r="C7" s="156"/>
      <c r="D7" s="158">
        <f t="shared" si="2"/>
      </c>
      <c r="E7" s="161">
        <f t="shared" si="3"/>
      </c>
      <c r="F7" s="161">
        <f t="shared" si="4"/>
      </c>
      <c r="G7" s="163">
        <f aca="true" t="shared" si="7" ref="G7:G22">IF(D7="","",G6+$G$4)</f>
      </c>
      <c r="H7" s="158">
        <f t="shared" si="5"/>
      </c>
      <c r="I7" s="161">
        <f t="shared" si="0"/>
      </c>
      <c r="J7" s="161">
        <f t="shared" si="1"/>
      </c>
      <c r="K7" s="162">
        <f t="shared" si="6"/>
      </c>
    </row>
    <row r="8" spans="2:11" ht="15">
      <c r="B8" s="97" t="s">
        <v>962</v>
      </c>
      <c r="C8" s="156"/>
      <c r="D8" s="158">
        <f t="shared" si="2"/>
      </c>
      <c r="E8" s="161">
        <f t="shared" si="3"/>
      </c>
      <c r="F8" s="161">
        <f t="shared" si="4"/>
      </c>
      <c r="G8" s="163">
        <f t="shared" si="7"/>
      </c>
      <c r="H8" s="158">
        <f t="shared" si="5"/>
      </c>
      <c r="I8" s="161">
        <f t="shared" si="0"/>
      </c>
      <c r="J8" s="161">
        <f t="shared" si="1"/>
      </c>
      <c r="K8" s="162">
        <f t="shared" si="6"/>
      </c>
    </row>
    <row r="9" spans="2:11" ht="15">
      <c r="B9" s="97" t="s">
        <v>963</v>
      </c>
      <c r="C9" s="157"/>
      <c r="D9" s="158">
        <f t="shared" si="2"/>
      </c>
      <c r="E9" s="161">
        <f t="shared" si="3"/>
      </c>
      <c r="F9" s="161">
        <f t="shared" si="4"/>
      </c>
      <c r="G9" s="163">
        <f t="shared" si="7"/>
      </c>
      <c r="H9" s="158">
        <f t="shared" si="5"/>
      </c>
      <c r="I9" s="161">
        <f t="shared" si="0"/>
      </c>
      <c r="J9" s="161">
        <f t="shared" si="1"/>
      </c>
      <c r="K9" s="162">
        <f t="shared" si="6"/>
      </c>
    </row>
    <row r="10" spans="2:11" ht="15">
      <c r="B10" s="99"/>
      <c r="C10" s="98"/>
      <c r="D10" s="158">
        <f t="shared" si="2"/>
      </c>
      <c r="E10" s="161">
        <f t="shared" si="3"/>
      </c>
      <c r="F10" s="161">
        <f t="shared" si="4"/>
      </c>
      <c r="G10" s="163">
        <f t="shared" si="7"/>
      </c>
      <c r="H10" s="158">
        <f t="shared" si="5"/>
      </c>
      <c r="I10" s="161">
        <f t="shared" si="0"/>
      </c>
      <c r="J10" s="161">
        <f t="shared" si="1"/>
      </c>
      <c r="K10" s="162">
        <f t="shared" si="6"/>
      </c>
    </row>
    <row r="11" spans="2:11" ht="15.75">
      <c r="B11" s="124" t="s">
        <v>964</v>
      </c>
      <c r="C11" s="105"/>
      <c r="D11" s="158">
        <f t="shared" si="2"/>
      </c>
      <c r="E11" s="161">
        <f t="shared" si="3"/>
      </c>
      <c r="F11" s="161">
        <f t="shared" si="4"/>
      </c>
      <c r="G11" s="163">
        <f t="shared" si="7"/>
      </c>
      <c r="H11" s="158">
        <f t="shared" si="5"/>
      </c>
      <c r="I11" s="161">
        <f t="shared" si="0"/>
      </c>
      <c r="J11" s="161">
        <f t="shared" si="1"/>
      </c>
      <c r="K11" s="162">
        <f t="shared" si="6"/>
      </c>
    </row>
    <row r="12" spans="2:11" ht="15.75">
      <c r="B12" s="107" t="s">
        <v>965</v>
      </c>
      <c r="C12" s="105"/>
      <c r="D12" s="158">
        <f t="shared" si="2"/>
      </c>
      <c r="E12" s="161">
        <f t="shared" si="3"/>
      </c>
      <c r="F12" s="161">
        <f t="shared" si="4"/>
      </c>
      <c r="G12" s="163">
        <f t="shared" si="7"/>
      </c>
      <c r="H12" s="158">
        <f t="shared" si="5"/>
      </c>
      <c r="I12" s="161">
        <f t="shared" si="0"/>
      </c>
      <c r="J12" s="161">
        <f t="shared" si="1"/>
      </c>
      <c r="K12" s="162">
        <f t="shared" si="6"/>
      </c>
    </row>
    <row r="13" spans="2:11" ht="15">
      <c r="B13" s="106" t="s">
        <v>966</v>
      </c>
      <c r="C13" s="156">
        <v>0</v>
      </c>
      <c r="D13" s="158">
        <f t="shared" si="2"/>
      </c>
      <c r="E13" s="161">
        <f t="shared" si="3"/>
      </c>
      <c r="F13" s="161">
        <f t="shared" si="4"/>
      </c>
      <c r="G13" s="163">
        <f t="shared" si="7"/>
      </c>
      <c r="H13" s="158">
        <f t="shared" si="5"/>
      </c>
      <c r="I13" s="161">
        <f t="shared" si="0"/>
      </c>
      <c r="J13" s="161">
        <f t="shared" si="1"/>
      </c>
      <c r="K13" s="162">
        <f t="shared" si="6"/>
      </c>
    </row>
    <row r="14" spans="2:11" ht="15">
      <c r="B14" s="97" t="s">
        <v>967</v>
      </c>
      <c r="C14" s="156">
        <v>0</v>
      </c>
      <c r="D14" s="158">
        <f t="shared" si="2"/>
      </c>
      <c r="E14" s="161">
        <f t="shared" si="3"/>
      </c>
      <c r="F14" s="161">
        <f t="shared" si="4"/>
      </c>
      <c r="G14" s="163">
        <f t="shared" si="7"/>
      </c>
      <c r="H14" s="158">
        <f t="shared" si="5"/>
      </c>
      <c r="I14" s="161">
        <f t="shared" si="0"/>
      </c>
      <c r="J14" s="161">
        <f t="shared" si="1"/>
      </c>
      <c r="K14" s="162">
        <f t="shared" si="6"/>
      </c>
    </row>
    <row r="15" spans="2:11" ht="15">
      <c r="B15" s="94"/>
      <c r="C15" s="51"/>
      <c r="D15" s="158">
        <f t="shared" si="2"/>
      </c>
      <c r="E15" s="161">
        <f t="shared" si="3"/>
      </c>
      <c r="F15" s="161">
        <f t="shared" si="4"/>
      </c>
      <c r="G15" s="163">
        <f t="shared" si="7"/>
      </c>
      <c r="H15" s="158">
        <f t="shared" si="5"/>
      </c>
      <c r="I15" s="161">
        <f t="shared" si="0"/>
      </c>
      <c r="J15" s="161">
        <f t="shared" si="1"/>
      </c>
      <c r="K15" s="162">
        <f t="shared" si="6"/>
      </c>
    </row>
    <row r="16" spans="2:11" ht="15.75">
      <c r="B16" s="442" t="s">
        <v>653</v>
      </c>
      <c r="C16" s="440"/>
      <c r="D16" s="158">
        <f t="shared" si="2"/>
      </c>
      <c r="E16" s="161">
        <f t="shared" si="3"/>
      </c>
      <c r="F16" s="161">
        <f t="shared" si="4"/>
      </c>
      <c r="G16" s="163">
        <f t="shared" si="7"/>
      </c>
      <c r="H16" s="158">
        <f t="shared" si="5"/>
      </c>
      <c r="I16" s="161">
        <f t="shared" si="0"/>
      </c>
      <c r="J16" s="161">
        <f t="shared" si="1"/>
      </c>
      <c r="K16" s="162">
        <f t="shared" si="6"/>
      </c>
    </row>
    <row r="17" spans="2:11" ht="15">
      <c r="B17" s="443" t="s">
        <v>654</v>
      </c>
      <c r="C17" s="444">
        <v>0.0001</v>
      </c>
      <c r="D17" s="158">
        <f t="shared" si="2"/>
      </c>
      <c r="E17" s="161">
        <f t="shared" si="3"/>
      </c>
      <c r="F17" s="161">
        <f t="shared" si="4"/>
      </c>
      <c r="G17" s="163">
        <f t="shared" si="7"/>
      </c>
      <c r="H17" s="158">
        <f t="shared" si="5"/>
      </c>
      <c r="I17" s="161">
        <f t="shared" si="0"/>
      </c>
      <c r="J17" s="161">
        <f t="shared" si="1"/>
      </c>
      <c r="K17" s="162">
        <f t="shared" si="6"/>
      </c>
    </row>
    <row r="18" spans="2:11" ht="15">
      <c r="B18" s="100"/>
      <c r="C18" s="441"/>
      <c r="D18" s="158">
        <f t="shared" si="2"/>
      </c>
      <c r="E18" s="161">
        <f t="shared" si="3"/>
      </c>
      <c r="F18" s="161">
        <f t="shared" si="4"/>
      </c>
      <c r="G18" s="163">
        <f t="shared" si="7"/>
      </c>
      <c r="H18" s="158">
        <f t="shared" si="5"/>
      </c>
      <c r="I18" s="161">
        <f t="shared" si="0"/>
      </c>
      <c r="J18" s="161">
        <f t="shared" si="1"/>
      </c>
      <c r="K18" s="162">
        <f t="shared" si="6"/>
      </c>
    </row>
    <row r="19" spans="2:11" ht="15.75">
      <c r="B19" s="447"/>
      <c r="C19" s="101"/>
      <c r="D19" s="158">
        <f t="shared" si="2"/>
      </c>
      <c r="E19" s="161">
        <f t="shared" si="3"/>
      </c>
      <c r="F19" s="161">
        <f t="shared" si="4"/>
      </c>
      <c r="G19" s="163">
        <f t="shared" si="7"/>
      </c>
      <c r="H19" s="158">
        <f t="shared" si="5"/>
      </c>
      <c r="I19" s="161">
        <f t="shared" si="0"/>
      </c>
      <c r="J19" s="161">
        <f t="shared" si="1"/>
      </c>
      <c r="K19" s="162">
        <f t="shared" si="6"/>
      </c>
    </row>
    <row r="20" spans="2:11" ht="15.75">
      <c r="B20" s="448"/>
      <c r="C20" s="101"/>
      <c r="D20" s="158">
        <f t="shared" si="2"/>
      </c>
      <c r="E20" s="161">
        <f t="shared" si="3"/>
      </c>
      <c r="F20" s="161">
        <f t="shared" si="4"/>
      </c>
      <c r="G20" s="163">
        <f t="shared" si="7"/>
      </c>
      <c r="H20" s="158">
        <f t="shared" si="5"/>
      </c>
      <c r="I20" s="161">
        <f t="shared" si="0"/>
      </c>
      <c r="J20" s="161">
        <f t="shared" si="1"/>
      </c>
      <c r="K20" s="162">
        <f t="shared" si="6"/>
      </c>
    </row>
    <row r="21" spans="2:11" ht="15">
      <c r="B21" s="97"/>
      <c r="C21" s="101"/>
      <c r="D21" s="158">
        <f aca="true" t="shared" si="8" ref="D21:D36">IF(D20=ABS($C$9),"",IF(D20="","",D20+1))</f>
      </c>
      <c r="E21" s="161">
        <f t="shared" si="3"/>
      </c>
      <c r="F21" s="161">
        <f t="shared" si="4"/>
      </c>
      <c r="G21" s="163">
        <f t="shared" si="7"/>
      </c>
      <c r="H21" s="158">
        <f aca="true" t="shared" si="9" ref="H21:H36">IF(H20=ABS($C$9),"",IF(H20="","",H20+1))</f>
      </c>
      <c r="I21" s="161">
        <f t="shared" si="0"/>
      </c>
      <c r="J21" s="161">
        <f t="shared" si="1"/>
      </c>
      <c r="K21" s="162">
        <f aca="true" t="shared" si="10" ref="K21:K36">IF(H21="","",K20+$G$4)</f>
      </c>
    </row>
    <row r="22" spans="2:11" ht="15">
      <c r="B22" s="97"/>
      <c r="C22" s="101"/>
      <c r="D22" s="158">
        <f t="shared" si="8"/>
      </c>
      <c r="E22" s="161">
        <f t="shared" si="3"/>
      </c>
      <c r="F22" s="161">
        <f t="shared" si="4"/>
      </c>
      <c r="G22" s="163">
        <f t="shared" si="7"/>
      </c>
      <c r="H22" s="158">
        <f t="shared" si="9"/>
      </c>
      <c r="I22" s="161">
        <f t="shared" si="0"/>
      </c>
      <c r="J22" s="161">
        <f t="shared" si="1"/>
      </c>
      <c r="K22" s="162">
        <f t="shared" si="10"/>
      </c>
    </row>
    <row r="23" spans="2:11" ht="15">
      <c r="B23" s="97"/>
      <c r="C23" s="101"/>
      <c r="D23" s="158">
        <f t="shared" si="8"/>
      </c>
      <c r="E23" s="161">
        <f t="shared" si="3"/>
      </c>
      <c r="F23" s="161">
        <f t="shared" si="4"/>
      </c>
      <c r="G23" s="163">
        <f aca="true" t="shared" si="11" ref="G23:G38">IF(D23="","",G22+$G$4)</f>
      </c>
      <c r="H23" s="158">
        <f t="shared" si="9"/>
      </c>
      <c r="I23" s="161">
        <f t="shared" si="0"/>
      </c>
      <c r="J23" s="161">
        <f t="shared" si="1"/>
      </c>
      <c r="K23" s="162">
        <f t="shared" si="10"/>
      </c>
    </row>
    <row r="24" spans="2:11" ht="15">
      <c r="B24" s="97"/>
      <c r="C24" s="101"/>
      <c r="D24" s="158">
        <f t="shared" si="8"/>
      </c>
      <c r="E24" s="161">
        <f t="shared" si="3"/>
      </c>
      <c r="F24" s="161">
        <f t="shared" si="4"/>
      </c>
      <c r="G24" s="163">
        <f t="shared" si="11"/>
      </c>
      <c r="H24" s="158">
        <f t="shared" si="9"/>
      </c>
      <c r="I24" s="161">
        <f t="shared" si="0"/>
      </c>
      <c r="J24" s="161">
        <f t="shared" si="1"/>
      </c>
      <c r="K24" s="162">
        <f t="shared" si="10"/>
      </c>
    </row>
    <row r="25" spans="2:11" ht="15">
      <c r="B25" s="97"/>
      <c r="C25" s="101" t="s">
        <v>968</v>
      </c>
      <c r="D25" s="158">
        <f t="shared" si="8"/>
      </c>
      <c r="E25" s="161">
        <f t="shared" si="3"/>
      </c>
      <c r="F25" s="161">
        <f t="shared" si="4"/>
      </c>
      <c r="G25" s="163">
        <f t="shared" si="11"/>
      </c>
      <c r="H25" s="158">
        <f t="shared" si="9"/>
      </c>
      <c r="I25" s="161">
        <f t="shared" si="0"/>
      </c>
      <c r="J25" s="161">
        <f t="shared" si="1"/>
      </c>
      <c r="K25" s="162">
        <f t="shared" si="10"/>
      </c>
    </row>
    <row r="26" spans="2:11" ht="15">
      <c r="B26" s="97"/>
      <c r="C26" s="101" t="s">
        <v>969</v>
      </c>
      <c r="D26" s="158">
        <f t="shared" si="8"/>
      </c>
      <c r="E26" s="161">
        <f t="shared" si="3"/>
      </c>
      <c r="F26" s="161">
        <f t="shared" si="4"/>
      </c>
      <c r="G26" s="163">
        <f t="shared" si="11"/>
      </c>
      <c r="H26" s="158">
        <f t="shared" si="9"/>
      </c>
      <c r="I26" s="161">
        <f t="shared" si="0"/>
      </c>
      <c r="J26" s="161">
        <f t="shared" si="1"/>
      </c>
      <c r="K26" s="162">
        <f t="shared" si="10"/>
      </c>
    </row>
    <row r="27" spans="2:11" ht="15">
      <c r="B27" s="97"/>
      <c r="C27" s="133" t="s">
        <v>970</v>
      </c>
      <c r="D27" s="158">
        <f t="shared" si="8"/>
      </c>
      <c r="E27" s="161">
        <f t="shared" si="3"/>
      </c>
      <c r="F27" s="161">
        <f t="shared" si="4"/>
      </c>
      <c r="G27" s="163">
        <f t="shared" si="11"/>
      </c>
      <c r="H27" s="158">
        <f t="shared" si="9"/>
      </c>
      <c r="I27" s="161">
        <f t="shared" si="0"/>
      </c>
      <c r="J27" s="161">
        <f t="shared" si="1"/>
      </c>
      <c r="K27" s="162">
        <f t="shared" si="10"/>
      </c>
    </row>
    <row r="28" spans="2:11" ht="15">
      <c r="B28" s="97"/>
      <c r="C28" s="101"/>
      <c r="D28" s="158">
        <f t="shared" si="8"/>
      </c>
      <c r="E28" s="161">
        <f t="shared" si="3"/>
      </c>
      <c r="F28" s="161">
        <f t="shared" si="4"/>
      </c>
      <c r="G28" s="163">
        <f t="shared" si="11"/>
      </c>
      <c r="H28" s="158">
        <f t="shared" si="9"/>
      </c>
      <c r="I28" s="161">
        <f t="shared" si="0"/>
      </c>
      <c r="J28" s="161">
        <f t="shared" si="1"/>
      </c>
      <c r="K28" s="162">
        <f t="shared" si="10"/>
      </c>
    </row>
    <row r="29" spans="2:11" ht="15">
      <c r="B29" s="172" t="s">
        <v>971</v>
      </c>
      <c r="C29" s="102"/>
      <c r="D29" s="158">
        <f t="shared" si="8"/>
      </c>
      <c r="E29" s="161">
        <f t="shared" si="3"/>
      </c>
      <c r="F29" s="161">
        <f t="shared" si="4"/>
      </c>
      <c r="G29" s="163">
        <f t="shared" si="11"/>
      </c>
      <c r="H29" s="158">
        <f t="shared" si="9"/>
      </c>
      <c r="I29" s="161">
        <f t="shared" si="0"/>
      </c>
      <c r="J29" s="161">
        <f t="shared" si="1"/>
      </c>
      <c r="K29" s="162">
        <f t="shared" si="10"/>
      </c>
    </row>
    <row r="30" spans="2:11" ht="15">
      <c r="B30" s="97">
        <f>IF(G4="","",TRUNC(G4))</f>
      </c>
      <c r="C30" s="98" t="s">
        <v>90</v>
      </c>
      <c r="D30" s="158">
        <f t="shared" si="8"/>
      </c>
      <c r="E30" s="161">
        <f t="shared" si="3"/>
      </c>
      <c r="F30" s="161">
        <f t="shared" si="4"/>
      </c>
      <c r="G30" s="163">
        <f t="shared" si="11"/>
      </c>
      <c r="H30" s="158">
        <f t="shared" si="9"/>
      </c>
      <c r="I30" s="161">
        <f t="shared" si="0"/>
      </c>
      <c r="J30" s="161">
        <f t="shared" si="1"/>
      </c>
      <c r="K30" s="162">
        <f t="shared" si="10"/>
      </c>
    </row>
    <row r="31" spans="2:11" ht="15">
      <c r="B31" s="97">
        <f>IF(G4="","",TRUNC((G4-B30)*60))</f>
      </c>
      <c r="C31" s="98" t="s">
        <v>111</v>
      </c>
      <c r="D31" s="158">
        <f t="shared" si="8"/>
      </c>
      <c r="E31" s="161">
        <f t="shared" si="3"/>
      </c>
      <c r="F31" s="161">
        <f t="shared" si="4"/>
      </c>
      <c r="G31" s="163">
        <f t="shared" si="11"/>
      </c>
      <c r="H31" s="158">
        <f t="shared" si="9"/>
      </c>
      <c r="I31" s="161">
        <f t="shared" si="0"/>
      </c>
      <c r="J31" s="161">
        <f t="shared" si="1"/>
      </c>
      <c r="K31" s="162">
        <f t="shared" si="10"/>
      </c>
    </row>
    <row r="32" spans="2:11" ht="15">
      <c r="B32" s="97">
        <f>IF(G4="","",((G4-B30)*60-B31)*60)</f>
      </c>
      <c r="C32" s="98" t="s">
        <v>112</v>
      </c>
      <c r="D32" s="158">
        <f t="shared" si="8"/>
      </c>
      <c r="E32" s="161">
        <f t="shared" si="3"/>
      </c>
      <c r="F32" s="161">
        <f t="shared" si="4"/>
      </c>
      <c r="G32" s="163">
        <f t="shared" si="11"/>
      </c>
      <c r="H32" s="158">
        <f t="shared" si="9"/>
      </c>
      <c r="I32" s="161">
        <f t="shared" si="0"/>
      </c>
      <c r="J32" s="161">
        <f t="shared" si="1"/>
      </c>
      <c r="K32" s="162">
        <f t="shared" si="10"/>
      </c>
    </row>
    <row r="33" spans="2:11" ht="15">
      <c r="B33" s="97"/>
      <c r="C33" s="101"/>
      <c r="D33" s="158">
        <f t="shared" si="8"/>
      </c>
      <c r="E33" s="161">
        <f t="shared" si="3"/>
      </c>
      <c r="F33" s="161">
        <f t="shared" si="4"/>
      </c>
      <c r="G33" s="163">
        <f t="shared" si="11"/>
      </c>
      <c r="H33" s="158">
        <f t="shared" si="9"/>
      </c>
      <c r="I33" s="161">
        <f t="shared" si="0"/>
      </c>
      <c r="J33" s="161">
        <f t="shared" si="1"/>
      </c>
      <c r="K33" s="162">
        <f t="shared" si="10"/>
      </c>
    </row>
    <row r="34" spans="2:11" ht="15">
      <c r="B34" s="97"/>
      <c r="C34" s="101"/>
      <c r="D34" s="158">
        <f t="shared" si="8"/>
      </c>
      <c r="E34" s="161">
        <f t="shared" si="3"/>
      </c>
      <c r="F34" s="161">
        <f t="shared" si="4"/>
      </c>
      <c r="G34" s="163">
        <f t="shared" si="11"/>
      </c>
      <c r="H34" s="158">
        <f t="shared" si="9"/>
      </c>
      <c r="I34" s="161">
        <f t="shared" si="0"/>
      </c>
      <c r="J34" s="161">
        <f t="shared" si="1"/>
      </c>
      <c r="K34" s="162">
        <f t="shared" si="10"/>
      </c>
    </row>
    <row r="35" spans="2:11" ht="15">
      <c r="B35" s="97"/>
      <c r="C35" s="101"/>
      <c r="D35" s="158">
        <f t="shared" si="8"/>
      </c>
      <c r="E35" s="161">
        <f t="shared" si="3"/>
      </c>
      <c r="F35" s="161">
        <f t="shared" si="4"/>
      </c>
      <c r="G35" s="163">
        <f t="shared" si="11"/>
      </c>
      <c r="H35" s="158">
        <f t="shared" si="9"/>
      </c>
      <c r="I35" s="161">
        <f t="shared" si="0"/>
      </c>
      <c r="J35" s="161">
        <f t="shared" si="1"/>
      </c>
      <c r="K35" s="162">
        <f t="shared" si="10"/>
      </c>
    </row>
    <row r="36" spans="2:11" ht="15">
      <c r="B36" s="97"/>
      <c r="C36" s="101"/>
      <c r="D36" s="158">
        <f t="shared" si="8"/>
      </c>
      <c r="E36" s="161">
        <f t="shared" si="3"/>
      </c>
      <c r="F36" s="161">
        <f t="shared" si="4"/>
      </c>
      <c r="G36" s="163">
        <f t="shared" si="11"/>
      </c>
      <c r="H36" s="158">
        <f t="shared" si="9"/>
      </c>
      <c r="I36" s="161">
        <f t="shared" si="0"/>
      </c>
      <c r="J36" s="161">
        <f t="shared" si="1"/>
      </c>
      <c r="K36" s="162">
        <f t="shared" si="10"/>
      </c>
    </row>
    <row r="37" spans="2:11" ht="15">
      <c r="B37" s="97"/>
      <c r="C37" s="101"/>
      <c r="D37" s="158">
        <f aca="true" t="shared" si="12" ref="D37:D52">IF(D36=ABS($C$9),"",IF(D36="","",D36+1))</f>
      </c>
      <c r="E37" s="161">
        <f t="shared" si="3"/>
      </c>
      <c r="F37" s="161">
        <f t="shared" si="4"/>
      </c>
      <c r="G37" s="163">
        <f t="shared" si="11"/>
      </c>
      <c r="H37" s="158">
        <f aca="true" t="shared" si="13" ref="H37:H52">IF(H36=ABS($C$9),"",IF(H36="","",H36+1))</f>
      </c>
      <c r="I37" s="161">
        <f t="shared" si="0"/>
      </c>
      <c r="J37" s="161">
        <f t="shared" si="1"/>
      </c>
      <c r="K37" s="162">
        <f aca="true" t="shared" si="14" ref="K37:K52">IF(H37="","",K36+$G$4)</f>
      </c>
    </row>
    <row r="38" spans="2:11" ht="15">
      <c r="B38" s="97"/>
      <c r="C38" s="101"/>
      <c r="D38" s="158">
        <f t="shared" si="12"/>
      </c>
      <c r="E38" s="161">
        <f t="shared" si="3"/>
      </c>
      <c r="F38" s="161">
        <f t="shared" si="4"/>
      </c>
      <c r="G38" s="163">
        <f t="shared" si="11"/>
      </c>
      <c r="H38" s="158">
        <f t="shared" si="13"/>
      </c>
      <c r="I38" s="161">
        <f t="shared" si="0"/>
      </c>
      <c r="J38" s="161">
        <f t="shared" si="1"/>
      </c>
      <c r="K38" s="162">
        <f t="shared" si="14"/>
      </c>
    </row>
    <row r="39" spans="2:11" ht="15.75">
      <c r="B39" s="442" t="s">
        <v>671</v>
      </c>
      <c r="C39" s="453"/>
      <c r="D39" s="158">
        <f t="shared" si="12"/>
      </c>
      <c r="E39" s="161">
        <f t="shared" si="3"/>
      </c>
      <c r="F39" s="161">
        <f t="shared" si="4"/>
      </c>
      <c r="G39" s="163">
        <f aca="true" t="shared" si="15" ref="G39:G52">IF(D39="","",G38+$G$4)</f>
      </c>
      <c r="H39" s="158">
        <f t="shared" si="13"/>
      </c>
      <c r="I39" s="161">
        <f t="shared" si="0"/>
      </c>
      <c r="J39" s="161">
        <f t="shared" si="1"/>
      </c>
      <c r="K39" s="162">
        <f t="shared" si="14"/>
      </c>
    </row>
    <row r="40" spans="2:11" ht="15">
      <c r="B40" s="459">
        <f>IF(C9="","",IF(C9&gt;0,"Clockwise    &gt;","&lt;    Counter Clockwise"))</f>
      </c>
      <c r="C40" s="102"/>
      <c r="D40" s="158">
        <f t="shared" si="12"/>
      </c>
      <c r="E40" s="161">
        <f t="shared" si="3"/>
      </c>
      <c r="F40" s="161">
        <f t="shared" si="4"/>
      </c>
      <c r="G40" s="163">
        <f t="shared" si="15"/>
      </c>
      <c r="H40" s="158">
        <f t="shared" si="13"/>
      </c>
      <c r="I40" s="161">
        <f t="shared" si="0"/>
      </c>
      <c r="J40" s="161">
        <f t="shared" si="1"/>
      </c>
      <c r="K40" s="162">
        <f t="shared" si="14"/>
      </c>
    </row>
    <row r="41" spans="2:11" ht="15">
      <c r="B41" s="97"/>
      <c r="C41" s="101"/>
      <c r="D41" s="158">
        <f t="shared" si="12"/>
      </c>
      <c r="E41" s="161">
        <f t="shared" si="3"/>
      </c>
      <c r="F41" s="161">
        <f t="shared" si="4"/>
      </c>
      <c r="G41" s="163">
        <f t="shared" si="15"/>
      </c>
      <c r="H41" s="158">
        <f t="shared" si="13"/>
      </c>
      <c r="I41" s="161">
        <f t="shared" si="0"/>
      </c>
      <c r="J41" s="161">
        <f t="shared" si="1"/>
      </c>
      <c r="K41" s="162">
        <f t="shared" si="14"/>
      </c>
    </row>
    <row r="42" spans="2:11" ht="15">
      <c r="B42" s="97"/>
      <c r="C42" s="101"/>
      <c r="D42" s="158">
        <f t="shared" si="12"/>
      </c>
      <c r="E42" s="161">
        <f t="shared" si="3"/>
      </c>
      <c r="F42" s="161">
        <f t="shared" si="4"/>
      </c>
      <c r="G42" s="163">
        <f t="shared" si="15"/>
      </c>
      <c r="H42" s="158">
        <f t="shared" si="13"/>
      </c>
      <c r="I42" s="161">
        <f t="shared" si="0"/>
      </c>
      <c r="J42" s="161">
        <f t="shared" si="1"/>
      </c>
      <c r="K42" s="162">
        <f t="shared" si="14"/>
      </c>
    </row>
    <row r="43" spans="2:11" ht="15">
      <c r="B43" s="97"/>
      <c r="C43" s="101"/>
      <c r="D43" s="158">
        <f t="shared" si="12"/>
      </c>
      <c r="E43" s="161">
        <f t="shared" si="3"/>
      </c>
      <c r="F43" s="161">
        <f t="shared" si="4"/>
      </c>
      <c r="G43" s="163">
        <f t="shared" si="15"/>
      </c>
      <c r="H43" s="158">
        <f t="shared" si="13"/>
      </c>
      <c r="I43" s="161">
        <f t="shared" si="0"/>
      </c>
      <c r="J43" s="161">
        <f t="shared" si="1"/>
      </c>
      <c r="K43" s="162">
        <f t="shared" si="14"/>
      </c>
    </row>
    <row r="44" spans="2:11" ht="15">
      <c r="B44" s="97"/>
      <c r="C44" s="101"/>
      <c r="D44" s="158">
        <f t="shared" si="12"/>
      </c>
      <c r="E44" s="161">
        <f t="shared" si="3"/>
      </c>
      <c r="F44" s="161">
        <f t="shared" si="4"/>
      </c>
      <c r="G44" s="163">
        <f t="shared" si="15"/>
      </c>
      <c r="H44" s="158">
        <f t="shared" si="13"/>
      </c>
      <c r="I44" s="161">
        <f t="shared" si="0"/>
      </c>
      <c r="J44" s="161">
        <f t="shared" si="1"/>
      </c>
      <c r="K44" s="162">
        <f t="shared" si="14"/>
      </c>
    </row>
    <row r="45" spans="2:11" ht="15">
      <c r="B45" s="97" t="s">
        <v>987</v>
      </c>
      <c r="C45" s="98" t="s">
        <v>668</v>
      </c>
      <c r="D45" s="158">
        <f t="shared" si="12"/>
      </c>
      <c r="E45" s="161">
        <f t="shared" si="3"/>
      </c>
      <c r="F45" s="161">
        <f t="shared" si="4"/>
      </c>
      <c r="G45" s="163">
        <f t="shared" si="15"/>
      </c>
      <c r="H45" s="158">
        <f t="shared" si="13"/>
      </c>
      <c r="I45" s="161">
        <f t="shared" si="0"/>
      </c>
      <c r="J45" s="161">
        <f t="shared" si="1"/>
      </c>
      <c r="K45" s="162">
        <f t="shared" si="14"/>
      </c>
    </row>
    <row r="46" spans="2:11" ht="15">
      <c r="B46" s="97" t="s">
        <v>991</v>
      </c>
      <c r="C46" s="98" t="s">
        <v>669</v>
      </c>
      <c r="D46" s="158">
        <f t="shared" si="12"/>
      </c>
      <c r="E46" s="161">
        <f t="shared" si="3"/>
      </c>
      <c r="F46" s="161">
        <f t="shared" si="4"/>
      </c>
      <c r="G46" s="163">
        <f t="shared" si="15"/>
      </c>
      <c r="H46" s="158">
        <f t="shared" si="13"/>
      </c>
      <c r="I46" s="161">
        <f t="shared" si="0"/>
      </c>
      <c r="J46" s="161">
        <f t="shared" si="1"/>
      </c>
      <c r="K46" s="162">
        <f t="shared" si="14"/>
      </c>
    </row>
    <row r="47" spans="2:11" ht="15">
      <c r="B47" s="97" t="s">
        <v>987</v>
      </c>
      <c r="C47" s="98" t="s">
        <v>668</v>
      </c>
      <c r="D47" s="158">
        <f t="shared" si="12"/>
      </c>
      <c r="E47" s="161">
        <f t="shared" si="3"/>
      </c>
      <c r="F47" s="161">
        <f t="shared" si="4"/>
      </c>
      <c r="G47" s="163">
        <f t="shared" si="15"/>
      </c>
      <c r="H47" s="158">
        <f t="shared" si="13"/>
      </c>
      <c r="I47" s="161">
        <f t="shared" si="0"/>
      </c>
      <c r="J47" s="161">
        <f t="shared" si="1"/>
      </c>
      <c r="K47" s="162">
        <f t="shared" si="14"/>
      </c>
    </row>
    <row r="48" spans="2:11" ht="15">
      <c r="B48" s="97" t="s">
        <v>1001</v>
      </c>
      <c r="C48" s="98" t="s">
        <v>670</v>
      </c>
      <c r="D48" s="158">
        <f t="shared" si="12"/>
      </c>
      <c r="E48" s="161">
        <f t="shared" si="3"/>
      </c>
      <c r="F48" s="161">
        <f t="shared" si="4"/>
      </c>
      <c r="G48" s="163">
        <f t="shared" si="15"/>
      </c>
      <c r="H48" s="158">
        <f t="shared" si="13"/>
      </c>
      <c r="I48" s="161">
        <f t="shared" si="0"/>
      </c>
      <c r="J48" s="161">
        <f t="shared" si="1"/>
      </c>
      <c r="K48" s="162">
        <f t="shared" si="14"/>
      </c>
    </row>
    <row r="49" spans="2:11" ht="15">
      <c r="B49" s="97"/>
      <c r="C49" s="101"/>
      <c r="D49" s="158">
        <f t="shared" si="12"/>
      </c>
      <c r="E49" s="161">
        <f t="shared" si="3"/>
      </c>
      <c r="F49" s="161">
        <f t="shared" si="4"/>
      </c>
      <c r="G49" s="163">
        <f t="shared" si="15"/>
      </c>
      <c r="H49" s="158">
        <f t="shared" si="13"/>
      </c>
      <c r="I49" s="161">
        <f t="shared" si="0"/>
      </c>
      <c r="J49" s="161">
        <f t="shared" si="1"/>
      </c>
      <c r="K49" s="162">
        <f t="shared" si="14"/>
      </c>
    </row>
    <row r="50" spans="2:11" ht="15">
      <c r="B50" s="97"/>
      <c r="C50" s="101"/>
      <c r="D50" s="158">
        <f t="shared" si="12"/>
      </c>
      <c r="E50" s="161">
        <f t="shared" si="3"/>
      </c>
      <c r="F50" s="161">
        <f t="shared" si="4"/>
      </c>
      <c r="G50" s="163">
        <f t="shared" si="15"/>
      </c>
      <c r="H50" s="158">
        <f t="shared" si="13"/>
      </c>
      <c r="I50" s="161">
        <f t="shared" si="0"/>
      </c>
      <c r="J50" s="161">
        <f t="shared" si="1"/>
      </c>
      <c r="K50" s="162">
        <f t="shared" si="14"/>
      </c>
    </row>
    <row r="51" spans="2:11" ht="15">
      <c r="B51" s="97"/>
      <c r="C51" s="101"/>
      <c r="D51" s="158">
        <f t="shared" si="12"/>
      </c>
      <c r="E51" s="161">
        <f t="shared" si="3"/>
      </c>
      <c r="F51" s="161">
        <f t="shared" si="4"/>
      </c>
      <c r="G51" s="163">
        <f t="shared" si="15"/>
      </c>
      <c r="H51" s="158">
        <f t="shared" si="13"/>
      </c>
      <c r="I51" s="161">
        <f t="shared" si="0"/>
      </c>
      <c r="J51" s="161">
        <f t="shared" si="1"/>
      </c>
      <c r="K51" s="162">
        <f t="shared" si="14"/>
      </c>
    </row>
    <row r="52" spans="2:11" ht="15.75" thickBot="1">
      <c r="B52" s="103"/>
      <c r="C52" s="104"/>
      <c r="D52" s="164">
        <f t="shared" si="12"/>
      </c>
      <c r="E52" s="165">
        <f t="shared" si="3"/>
      </c>
      <c r="F52" s="165">
        <f t="shared" si="4"/>
      </c>
      <c r="G52" s="166">
        <f t="shared" si="15"/>
      </c>
      <c r="H52" s="164">
        <f t="shared" si="13"/>
      </c>
      <c r="I52" s="165">
        <f t="shared" si="0"/>
      </c>
      <c r="J52" s="165">
        <f t="shared" si="1"/>
      </c>
      <c r="K52" s="167">
        <f t="shared" si="14"/>
      </c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180" verticalDpi="180" orientation="portrait" pageOrder="overThenDown" scale="88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tabColor indexed="13"/>
    <pageSetUpPr fitToPage="1"/>
  </sheetPr>
  <dimension ref="B1:S53"/>
  <sheetViews>
    <sheetView showGridLines="0" showRowColHeaders="0" zoomScale="75" zoomScaleNormal="75" zoomScalePageLayoutView="0" workbookViewId="0" topLeftCell="A1">
      <selection activeCell="C5" sqref="C5"/>
    </sheetView>
  </sheetViews>
  <sheetFormatPr defaultColWidth="9.77734375" defaultRowHeight="15"/>
  <cols>
    <col min="1" max="1" width="1.77734375" style="96" customWidth="1"/>
    <col min="2" max="2" width="11.77734375" style="96" customWidth="1"/>
    <col min="3" max="3" width="8.77734375" style="96" customWidth="1"/>
    <col min="4" max="4" width="5.77734375" style="96" customWidth="1"/>
    <col min="5" max="6" width="8.77734375" style="96" customWidth="1"/>
    <col min="7" max="7" width="10.77734375" style="96" customWidth="1"/>
    <col min="8" max="8" width="5.77734375" style="96" customWidth="1"/>
    <col min="9" max="10" width="8.77734375" style="96" customWidth="1"/>
    <col min="11" max="11" width="10.77734375" style="96" customWidth="1"/>
    <col min="12" max="12" width="5.77734375" style="96" customWidth="1"/>
    <col min="13" max="14" width="8.77734375" style="96" customWidth="1"/>
    <col min="15" max="15" width="10.77734375" style="96" customWidth="1"/>
    <col min="16" max="16" width="5.77734375" style="96" customWidth="1"/>
    <col min="17" max="18" width="8.77734375" style="96" customWidth="1"/>
    <col min="19" max="19" width="10.77734375" style="96" customWidth="1"/>
    <col min="20" max="16384" width="9.77734375" style="96" customWidth="1"/>
  </cols>
  <sheetData>
    <row r="1" spans="2:19" ht="26.25">
      <c r="B1" s="93" t="s">
        <v>660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5"/>
    </row>
    <row r="2" spans="2:19" ht="22.5" customHeight="1">
      <c r="B2" s="94"/>
      <c r="C2" s="51"/>
      <c r="D2" s="128" t="s">
        <v>956</v>
      </c>
      <c r="E2" s="129" t="s">
        <v>957</v>
      </c>
      <c r="F2" s="129" t="s">
        <v>958</v>
      </c>
      <c r="G2" s="130" t="s">
        <v>90</v>
      </c>
      <c r="H2" s="128" t="s">
        <v>956</v>
      </c>
      <c r="I2" s="129" t="s">
        <v>957</v>
      </c>
      <c r="J2" s="129" t="s">
        <v>958</v>
      </c>
      <c r="K2" s="130" t="s">
        <v>90</v>
      </c>
      <c r="L2" s="128" t="s">
        <v>956</v>
      </c>
      <c r="M2" s="129" t="s">
        <v>957</v>
      </c>
      <c r="N2" s="129" t="s">
        <v>958</v>
      </c>
      <c r="O2" s="130" t="s">
        <v>90</v>
      </c>
      <c r="P2" s="128" t="s">
        <v>956</v>
      </c>
      <c r="Q2" s="129" t="s">
        <v>957</v>
      </c>
      <c r="R2" s="129" t="s">
        <v>958</v>
      </c>
      <c r="S2" s="131" t="s">
        <v>90</v>
      </c>
    </row>
    <row r="3" spans="2:19" ht="15" customHeight="1">
      <c r="B3" s="107" t="s">
        <v>664</v>
      </c>
      <c r="C3" s="125"/>
      <c r="D3" s="158">
        <f>IF(C9="","",1)</f>
      </c>
      <c r="E3" s="159">
        <f>IF(D3="","",ROUND((C5)/$C$20,0)*$C$20)</f>
      </c>
      <c r="F3" s="159">
        <f>IF(D3="","",ROUND((C6)/$C$20,0)*$C$20)</f>
      </c>
      <c r="G3" s="160">
        <f>IF(D3="","",0)</f>
      </c>
      <c r="H3" s="158">
        <f>IF(D53="","",IF(D53&gt;=ABS((360*$C$17)/$C$9)+1,"",D53+1))</f>
      </c>
      <c r="I3" s="161">
        <f>IF(H3="","",(ROUND((((COS(K3/180*PI())*$C$5)+(SIN(K3/180*PI())*$C$6)))*(1+(((SUM($C$13,($C$12*$C$24)))/(360/ABS(K3)))/(SQRT(($C$6*$C$6)+($C$5*$C$5)))))/$C$20,0)*$C$20))</f>
      </c>
      <c r="J3" s="161">
        <f>IF(H3="","",(ROUND((((COS(K3/180*PI())*$C$6)-(SIN(K3/180*PI())*$C$5)))*(1+(((SUM($C$13,($C$12*$C$24)))/(360/ABS(K3)))/(SQRT(($C$6*$C$6)+($C$5*$C$5)))))/$C$20,0)*$C$20))</f>
      </c>
      <c r="K3" s="162">
        <f>IF(H3="","",G53+$G$4)</f>
      </c>
      <c r="L3" s="158">
        <f>IF(H53="","",IF(H53&gt;=ABS((360*$C$17)/$C$9)+1,"",H53+1))</f>
      </c>
      <c r="M3" s="161">
        <f>IF(L3="","",(ROUND((((COS(O3/180*PI())*$C$5)+(SIN(O3/180*PI())*$C$6)))*(1+(((SUM($C$13,($C$12*$C$24)))/(360/ABS(O3)))/(SQRT(($C$6*$C$6)+($C$5*$C$5)))))/$C$20,0)*$C$20))</f>
      </c>
      <c r="N3" s="161">
        <f>IF(L3="","",(ROUND((((COS(O3/180*PI())*$C$6)-(SIN(O3/180*PI())*$C$5)))*(1+(((SUM($C$13,($C$12*$C$24)))/(360/ABS(O3)))/(SQRT(($C$6*$C$6)+($C$5*$C$5)))))/$C$20,0)*$C$20))</f>
      </c>
      <c r="O3" s="162">
        <f>IF(L3="","",K53+$G$4)</f>
      </c>
      <c r="P3" s="158">
        <f>IF(L53="","",IF(L53&gt;=ABS((360*$C$17)/$C$9)+1,"",L53+1))</f>
      </c>
      <c r="Q3" s="161">
        <f>IF(P3="","",(ROUND((((COS(S3/180*PI())*$C$5)+(SIN(S3/180*PI())*$C$6)))*(1+(((SUM($C$13,($C$12*$C$24)))/(360/ABS(S3)))/(SQRT(($C$6*$C$6)+($C$5*$C$5)))))/$C$20,0)*$C$20))</f>
      </c>
      <c r="R3" s="161">
        <f>IF(P3="","",(ROUND((((COS(S3/180*PI())*$C$6)-(SIN(S3/180*PI())*$C$5)))*(1+(((SUM($C$13,($C$12*$C$24)))/(360/ABS(S3)))/(SQRT(($C$6*$C$6)+($C$5*$C$5)))))/$C$20,0)*$C$20))</f>
      </c>
      <c r="S3" s="162">
        <f>IF(P3="","",O53+$G$4)</f>
      </c>
    </row>
    <row r="4" spans="2:19" ht="15.75">
      <c r="B4" s="124" t="s">
        <v>665</v>
      </c>
      <c r="C4" s="125"/>
      <c r="D4" s="158">
        <f>IF(D3="","",IF(D3&gt;=ABS((360*$C$17)/$C$9)+1,"",D3+1))</f>
      </c>
      <c r="E4" s="161">
        <f>IF(D4="","",(ROUND((((COS(G4/180*PI())*($C$5))+(SIN(G4/180*PI())*$C$6)))*(1+(((SUM($C$13,($C$12*$C$24)))/(360/ABS(G4)))/(SQRT(($C$6*$C$6)+($C$5*$C$5)))))/$C$20,0)*$C$20))</f>
      </c>
      <c r="F4" s="161">
        <f>IF(D4="","",(ROUND((((COS(G4/180*PI())*($C$6))-(SIN(G4/180*PI())*$C$5)))*(1+(((SUM($C$13,($C$12*$C$24)))/(360/ABS(G4)))/(SQRT(($C$6*$C$6)+($C$5*$C$5)))))/$C$20,0)*$C$20))</f>
      </c>
      <c r="G4" s="163">
        <f>IF(D4="","",C9)</f>
      </c>
      <c r="H4" s="158">
        <f>IF(H3="","",IF(H3&gt;=ABS((360*$C$17)/$C$9)+1,"",H3+1))</f>
      </c>
      <c r="I4" s="161">
        <f>IF(H4="","",(ROUND((((COS(K4/180*PI())*$C$5)+(SIN(K4/180*PI())*$C$6)))*(1+(((SUM($C$13,($C$12*$C$24)))/(360/ABS(K4)))/(SQRT(($C$6*$C$6)+($C$5*$C$5)))))/$C$20,0)*$C$20))</f>
      </c>
      <c r="J4" s="161">
        <f>IF(H4="","",(ROUND((((COS(K4/180*PI())*$C$6)-(SIN(K4/180*PI())*$C$5)))*(1+(((SUM($C$13,($C$12*$C$24)))/(360/ABS(K4)))/(SQRT(($C$6*$C$6)+($C$5*$C$5)))))/$C$20,0)*$C$20))</f>
      </c>
      <c r="K4" s="162">
        <f aca="true" t="shared" si="0" ref="K4:K35">IF(H4="","",K3+$G$4)</f>
      </c>
      <c r="L4" s="158">
        <f>IF(L3="","",IF(L3&gt;=ABS((360*$C$17)/$C$9)+1,"",L3+1))</f>
      </c>
      <c r="M4" s="161">
        <f>IF(L4="","",(ROUND((((COS(O4/180*PI())*$C$5)+(SIN(O4/180*PI())*$C$6)))*(1+(((SUM($C$13,($C$12*$C$24)))/(360/ABS(O4)))/(SQRT(($C$6*$C$6)+($C$5*$C$5)))))/$C$20,0)*$C$20))</f>
      </c>
      <c r="N4" s="161">
        <f>IF(L4="","",(ROUND((((COS(O4/180*PI())*$C$6)-(SIN(O4/180*PI())*$C$5)))*(1+(((SUM($C$13,($C$12*$C$24)))/(360/ABS(O4)))/(SQRT(($C$6*$C$6)+($C$5*$C$5)))))/$C$20,0)*$C$20))</f>
      </c>
      <c r="O4" s="162">
        <f aca="true" t="shared" si="1" ref="O4:O52">IF(L4="","",O3+$G$4)</f>
      </c>
      <c r="P4" s="158">
        <f>IF(P3="","",IF(P3&gt;=ABS((360*$C$17)/$C$9)+1,"",P3+1))</f>
      </c>
      <c r="Q4" s="161">
        <f>IF(P4="","",(ROUND((((COS(S4/180*PI())*$C$5)+(SIN(S4/180*PI())*$C$6)))*(1+(((SUM($C$13,($C$12*$C$24)))/(360/ABS(S4)))/(SQRT(($C$6*$C$6)+($C$5*$C$5)))))/$C$20,0)*$C$20))</f>
      </c>
      <c r="R4" s="161">
        <f>IF(P4="","",(ROUND((((COS(S4/180*PI())*$C$6)-(SIN(S4/180*PI())*$C$5)))*(1+(((SUM($C$13,($C$12*$C$24)))/(360/ABS(S4)))/(SQRT(($C$6*$C$6)+($C$5*$C$5)))))/$C$20,0)*$C$20))</f>
      </c>
      <c r="S4" s="162">
        <f aca="true" t="shared" si="2" ref="S4:S52">IF(P4="","",S3+$G$4)</f>
      </c>
    </row>
    <row r="5" spans="2:19" ht="15">
      <c r="B5" s="97" t="s">
        <v>961</v>
      </c>
      <c r="C5" s="156"/>
      <c r="D5" s="158">
        <f aca="true" t="shared" si="3" ref="D5:D53">IF(D4="","",IF(D4&gt;=ABS((360*$C$17)/$C$9)+1,"",D4+1))</f>
      </c>
      <c r="E5" s="161">
        <f>IF(D5="","",(ROUND((((COS(G5/180*PI())*($C$5))+(SIN(G5/180*PI())*$C$6)))*(1+(((SUM($C$13,($C$12*$C$24)))/(360/ABS(G5)))/(SQRT(($C$6*$C$6)+($C$5*$C$5)))))/$C$20,0)*$C$20))</f>
      </c>
      <c r="F5" s="161">
        <f>IF(D5="","",(ROUND((((COS(G5/180*PI())*($C$6))-(SIN(G5/180*PI())*$C$5)))*(1+(((SUM($C$13,($C$12*$C$24)))/(360/ABS(G5)))/(SQRT(($C$6*$C$6)+($C$5*$C$5)))))/$C$20,0)*$C$20))</f>
      </c>
      <c r="G5" s="163">
        <f>IF(D5="","",G4*2)</f>
      </c>
      <c r="H5" s="158">
        <f aca="true" t="shared" si="4" ref="H5:H53">IF(H4="","",IF(H4&gt;=ABS((360*$C$17)/$C$9)+1,"",H4+1))</f>
      </c>
      <c r="I5" s="161">
        <f aca="true" t="shared" si="5" ref="I5:I53">IF(H5="","",(ROUND((((COS(K5/180*PI())*$C$5)+(SIN(K5/180*PI())*$C$6)))*(1+(((SUM($C$13,($C$12*$C$24)))/(360/ABS(K5)))/(SQRT(($C$6*$C$6)+($C$5*$C$5)))))/$C$20,0)*$C$20))</f>
      </c>
      <c r="J5" s="161">
        <f aca="true" t="shared" si="6" ref="J5:J53">IF(H5="","",(ROUND((((COS(K5/180*PI())*$C$6)-(SIN(K5/180*PI())*$C$5)))*(1+(((SUM($C$13,($C$12*$C$24)))/(360/ABS(K5)))/(SQRT(($C$6*$C$6)+($C$5*$C$5)))))/$C$20,0)*$C$20))</f>
      </c>
      <c r="K5" s="162">
        <f t="shared" si="0"/>
      </c>
      <c r="L5" s="158">
        <f aca="true" t="shared" si="7" ref="L5:L53">IF(L4="","",IF(L4&gt;=ABS((360*$C$17)/$C$9)+1,"",L4+1))</f>
      </c>
      <c r="M5" s="161">
        <f aca="true" t="shared" si="8" ref="M5:M53">IF(L5="","",(ROUND((((COS(O5/180*PI())*$C$5)+(SIN(O5/180*PI())*$C$6)))*(1+(((SUM($C$13,($C$12*$C$24)))/(360/ABS(O5)))/(SQRT(($C$6*$C$6)+($C$5*$C$5)))))/$C$20,0)*$C$20))</f>
      </c>
      <c r="N5" s="161">
        <f aca="true" t="shared" si="9" ref="N5:N53">IF(L5="","",(ROUND((((COS(O5/180*PI())*$C$6)-(SIN(O5/180*PI())*$C$5)))*(1+(((SUM($C$13,($C$12*$C$24)))/(360/ABS(O5)))/(SQRT(($C$6*$C$6)+($C$5*$C$5)))))/$C$20,0)*$C$20))</f>
      </c>
      <c r="O5" s="162">
        <f t="shared" si="1"/>
      </c>
      <c r="P5" s="158">
        <f aca="true" t="shared" si="10" ref="P5:P53">IF(P4="","",IF(P4&gt;=ABS((360*$C$17)/$C$9)+1,"",P4+1))</f>
      </c>
      <c r="Q5" s="161">
        <f aca="true" t="shared" si="11" ref="Q5:Q53">IF(P5="","",(ROUND((((COS(S5/180*PI())*$C$5)+(SIN(S5/180*PI())*$C$6)))*(1+(((SUM($C$13,($C$12*$C$24)))/(360/ABS(S5)))/(SQRT(($C$6*$C$6)+($C$5*$C$5)))))/$C$20,0)*$C$20))</f>
      </c>
      <c r="R5" s="161">
        <f aca="true" t="shared" si="12" ref="R5:R53">IF(P5="","",(ROUND((((COS(S5/180*PI())*$C$6)-(SIN(S5/180*PI())*$C$5)))*(1+(((SUM($C$13,($C$12*$C$24)))/(360/ABS(S5)))/(SQRT(($C$6*$C$6)+($C$5*$C$5)))))/$C$20,0)*$C$20))</f>
      </c>
      <c r="S5" s="162">
        <f t="shared" si="2"/>
      </c>
    </row>
    <row r="6" spans="2:19" ht="15">
      <c r="B6" s="97" t="s">
        <v>962</v>
      </c>
      <c r="C6" s="156"/>
      <c r="D6" s="158">
        <f t="shared" si="3"/>
      </c>
      <c r="E6" s="161">
        <f aca="true" t="shared" si="13" ref="E6:E53">IF(D6="","",(ROUND((((COS(G6/180*PI())*($C$5))+(SIN(G6/180*PI())*$C$6)))*(1+(((SUM($C$13,($C$12*$C$24)))/(360/ABS(G6)))/(SQRT(($C$6*$C$6)+($C$5*$C$5)))))/$C$20,0)*$C$20))</f>
      </c>
      <c r="F6" s="161">
        <f aca="true" t="shared" si="14" ref="F6:F53">IF(D6="","",(ROUND((((COS(G6/180*PI())*($C$6))-(SIN(G6/180*PI())*$C$5)))*(1+(((SUM($C$13,($C$12*$C$24)))/(360/ABS(G6)))/(SQRT(($C$6*$C$6)+($C$5*$C$5)))))/$C$20,0)*$C$20))</f>
      </c>
      <c r="G6" s="163">
        <f aca="true" t="shared" si="15" ref="G6:G52">IF(D6="","",G5+$G$4)</f>
      </c>
      <c r="H6" s="158">
        <f t="shared" si="4"/>
      </c>
      <c r="I6" s="161">
        <f t="shared" si="5"/>
      </c>
      <c r="J6" s="161">
        <f t="shared" si="6"/>
      </c>
      <c r="K6" s="162">
        <f t="shared" si="0"/>
      </c>
      <c r="L6" s="158">
        <f t="shared" si="7"/>
      </c>
      <c r="M6" s="161">
        <f t="shared" si="8"/>
      </c>
      <c r="N6" s="161">
        <f t="shared" si="9"/>
      </c>
      <c r="O6" s="162">
        <f t="shared" si="1"/>
      </c>
      <c r="P6" s="158">
        <f t="shared" si="10"/>
      </c>
      <c r="Q6" s="161">
        <f t="shared" si="11"/>
      </c>
      <c r="R6" s="161">
        <f t="shared" si="12"/>
      </c>
      <c r="S6" s="162">
        <f t="shared" si="2"/>
      </c>
    </row>
    <row r="7" spans="2:19" ht="15">
      <c r="B7" s="97"/>
      <c r="C7" s="101"/>
      <c r="D7" s="158">
        <f t="shared" si="3"/>
      </c>
      <c r="E7" s="161">
        <f t="shared" si="13"/>
      </c>
      <c r="F7" s="161">
        <f t="shared" si="14"/>
      </c>
      <c r="G7" s="163">
        <f t="shared" si="15"/>
      </c>
      <c r="H7" s="158">
        <f t="shared" si="4"/>
      </c>
      <c r="I7" s="161">
        <f t="shared" si="5"/>
      </c>
      <c r="J7" s="161">
        <f t="shared" si="6"/>
      </c>
      <c r="K7" s="162">
        <f t="shared" si="0"/>
      </c>
      <c r="L7" s="158">
        <f t="shared" si="7"/>
      </c>
      <c r="M7" s="161">
        <f t="shared" si="8"/>
      </c>
      <c r="N7" s="161">
        <f t="shared" si="9"/>
      </c>
      <c r="O7" s="162">
        <f t="shared" si="1"/>
      </c>
      <c r="P7" s="158">
        <f t="shared" si="10"/>
      </c>
      <c r="Q7" s="161">
        <f t="shared" si="11"/>
      </c>
      <c r="R7" s="161">
        <f t="shared" si="12"/>
      </c>
      <c r="S7" s="162">
        <f t="shared" si="2"/>
      </c>
    </row>
    <row r="8" spans="2:19" ht="15.75">
      <c r="B8" s="442" t="s">
        <v>666</v>
      </c>
      <c r="C8" s="450"/>
      <c r="D8" s="158">
        <f t="shared" si="3"/>
      </c>
      <c r="E8" s="161">
        <f t="shared" si="13"/>
      </c>
      <c r="F8" s="161">
        <f t="shared" si="14"/>
      </c>
      <c r="G8" s="163">
        <f t="shared" si="15"/>
      </c>
      <c r="H8" s="158">
        <f t="shared" si="4"/>
      </c>
      <c r="I8" s="161">
        <f t="shared" si="5"/>
      </c>
      <c r="J8" s="161">
        <f t="shared" si="6"/>
      </c>
      <c r="K8" s="162">
        <f t="shared" si="0"/>
      </c>
      <c r="L8" s="158">
        <f t="shared" si="7"/>
      </c>
      <c r="M8" s="161">
        <f t="shared" si="8"/>
      </c>
      <c r="N8" s="161">
        <f t="shared" si="9"/>
      </c>
      <c r="O8" s="162">
        <f t="shared" si="1"/>
      </c>
      <c r="P8" s="158">
        <f t="shared" si="10"/>
      </c>
      <c r="Q8" s="161">
        <f t="shared" si="11"/>
      </c>
      <c r="R8" s="161">
        <f t="shared" si="12"/>
      </c>
      <c r="S8" s="162">
        <f t="shared" si="2"/>
      </c>
    </row>
    <row r="9" spans="2:19" ht="15">
      <c r="B9" s="97" t="s">
        <v>661</v>
      </c>
      <c r="C9" s="446"/>
      <c r="D9" s="158">
        <f t="shared" si="3"/>
      </c>
      <c r="E9" s="161">
        <f t="shared" si="13"/>
      </c>
      <c r="F9" s="161">
        <f t="shared" si="14"/>
      </c>
      <c r="G9" s="163">
        <f t="shared" si="15"/>
      </c>
      <c r="H9" s="158">
        <f t="shared" si="4"/>
      </c>
      <c r="I9" s="161">
        <f t="shared" si="5"/>
      </c>
      <c r="J9" s="161">
        <f t="shared" si="6"/>
      </c>
      <c r="K9" s="162">
        <f t="shared" si="0"/>
      </c>
      <c r="L9" s="158">
        <f t="shared" si="7"/>
      </c>
      <c r="M9" s="161">
        <f t="shared" si="8"/>
      </c>
      <c r="N9" s="161">
        <f t="shared" si="9"/>
      </c>
      <c r="O9" s="162">
        <f t="shared" si="1"/>
      </c>
      <c r="P9" s="158">
        <f t="shared" si="10"/>
      </c>
      <c r="Q9" s="161">
        <f t="shared" si="11"/>
      </c>
      <c r="R9" s="161">
        <f t="shared" si="12"/>
      </c>
      <c r="S9" s="162">
        <f t="shared" si="2"/>
      </c>
    </row>
    <row r="10" spans="2:19" ht="15">
      <c r="B10" s="99"/>
      <c r="C10" s="98"/>
      <c r="D10" s="158">
        <f t="shared" si="3"/>
      </c>
      <c r="E10" s="161">
        <f t="shared" si="13"/>
      </c>
      <c r="F10" s="161">
        <f t="shared" si="14"/>
      </c>
      <c r="G10" s="163">
        <f t="shared" si="15"/>
      </c>
      <c r="H10" s="158">
        <f t="shared" si="4"/>
      </c>
      <c r="I10" s="161">
        <f t="shared" si="5"/>
      </c>
      <c r="J10" s="161">
        <f t="shared" si="6"/>
      </c>
      <c r="K10" s="162">
        <f t="shared" si="0"/>
      </c>
      <c r="L10" s="158">
        <f t="shared" si="7"/>
      </c>
      <c r="M10" s="161">
        <f t="shared" si="8"/>
      </c>
      <c r="N10" s="161">
        <f t="shared" si="9"/>
      </c>
      <c r="O10" s="162">
        <f t="shared" si="1"/>
      </c>
      <c r="P10" s="158">
        <f t="shared" si="10"/>
      </c>
      <c r="Q10" s="161">
        <f t="shared" si="11"/>
      </c>
      <c r="R10" s="161">
        <f t="shared" si="12"/>
      </c>
      <c r="S10" s="162">
        <f t="shared" si="2"/>
      </c>
    </row>
    <row r="11" spans="2:19" ht="15.75">
      <c r="B11" s="124" t="s">
        <v>657</v>
      </c>
      <c r="C11" s="105"/>
      <c r="D11" s="158">
        <f t="shared" si="3"/>
      </c>
      <c r="E11" s="161">
        <f t="shared" si="13"/>
      </c>
      <c r="F11" s="161">
        <f t="shared" si="14"/>
      </c>
      <c r="G11" s="163">
        <f t="shared" si="15"/>
      </c>
      <c r="H11" s="158">
        <f t="shared" si="4"/>
      </c>
      <c r="I11" s="161">
        <f t="shared" si="5"/>
      </c>
      <c r="J11" s="161">
        <f t="shared" si="6"/>
      </c>
      <c r="K11" s="162">
        <f t="shared" si="0"/>
      </c>
      <c r="L11" s="158">
        <f t="shared" si="7"/>
      </c>
      <c r="M11" s="161">
        <f t="shared" si="8"/>
      </c>
      <c r="N11" s="161">
        <f t="shared" si="9"/>
      </c>
      <c r="O11" s="162">
        <f t="shared" si="1"/>
      </c>
      <c r="P11" s="158">
        <f t="shared" si="10"/>
      </c>
      <c r="Q11" s="161">
        <f t="shared" si="11"/>
      </c>
      <c r="R11" s="161">
        <f t="shared" si="12"/>
      </c>
      <c r="S11" s="162">
        <f t="shared" si="2"/>
      </c>
    </row>
    <row r="12" spans="2:19" ht="15">
      <c r="B12" s="443" t="s">
        <v>663</v>
      </c>
      <c r="C12" s="444"/>
      <c r="D12" s="158">
        <f t="shared" si="3"/>
      </c>
      <c r="E12" s="161">
        <f t="shared" si="13"/>
      </c>
      <c r="F12" s="161">
        <f t="shared" si="14"/>
      </c>
      <c r="G12" s="163">
        <f t="shared" si="15"/>
      </c>
      <c r="H12" s="158">
        <f t="shared" si="4"/>
      </c>
      <c r="I12" s="161">
        <f t="shared" si="5"/>
      </c>
      <c r="J12" s="161">
        <f t="shared" si="6"/>
      </c>
      <c r="K12" s="162">
        <f t="shared" si="0"/>
      </c>
      <c r="L12" s="158">
        <f t="shared" si="7"/>
      </c>
      <c r="M12" s="161">
        <f t="shared" si="8"/>
      </c>
      <c r="N12" s="161">
        <f t="shared" si="9"/>
      </c>
      <c r="O12" s="162">
        <f t="shared" si="1"/>
      </c>
      <c r="P12" s="158">
        <f t="shared" si="10"/>
      </c>
      <c r="Q12" s="161">
        <f t="shared" si="11"/>
      </c>
      <c r="R12" s="161">
        <f t="shared" si="12"/>
      </c>
      <c r="S12" s="162">
        <f t="shared" si="2"/>
      </c>
    </row>
    <row r="13" spans="2:19" ht="15">
      <c r="B13" s="443" t="s">
        <v>662</v>
      </c>
      <c r="C13" s="444"/>
      <c r="D13" s="158">
        <f t="shared" si="3"/>
      </c>
      <c r="E13" s="161">
        <f t="shared" si="13"/>
      </c>
      <c r="F13" s="161">
        <f t="shared" si="14"/>
      </c>
      <c r="G13" s="163">
        <f t="shared" si="15"/>
      </c>
      <c r="H13" s="158">
        <f t="shared" si="4"/>
      </c>
      <c r="I13" s="161">
        <f t="shared" si="5"/>
      </c>
      <c r="J13" s="161">
        <f t="shared" si="6"/>
      </c>
      <c r="K13" s="162">
        <f t="shared" si="0"/>
      </c>
      <c r="L13" s="158">
        <f t="shared" si="7"/>
      </c>
      <c r="M13" s="161">
        <f t="shared" si="8"/>
      </c>
      <c r="N13" s="161">
        <f t="shared" si="9"/>
      </c>
      <c r="O13" s="162">
        <f t="shared" si="1"/>
      </c>
      <c r="P13" s="158">
        <f t="shared" si="10"/>
      </c>
      <c r="Q13" s="161">
        <f t="shared" si="11"/>
      </c>
      <c r="R13" s="161">
        <f t="shared" si="12"/>
      </c>
      <c r="S13" s="162">
        <f t="shared" si="2"/>
      </c>
    </row>
    <row r="14" spans="2:19" ht="15">
      <c r="B14" s="97"/>
      <c r="C14" s="101"/>
      <c r="D14" s="158">
        <f t="shared" si="3"/>
      </c>
      <c r="E14" s="161">
        <f t="shared" si="13"/>
      </c>
      <c r="F14" s="161">
        <f t="shared" si="14"/>
      </c>
      <c r="G14" s="163">
        <f t="shared" si="15"/>
      </c>
      <c r="H14" s="158">
        <f t="shared" si="4"/>
      </c>
      <c r="I14" s="161">
        <f t="shared" si="5"/>
      </c>
      <c r="J14" s="161">
        <f t="shared" si="6"/>
      </c>
      <c r="K14" s="162">
        <f t="shared" si="0"/>
      </c>
      <c r="L14" s="158">
        <f t="shared" si="7"/>
      </c>
      <c r="M14" s="161">
        <f t="shared" si="8"/>
      </c>
      <c r="N14" s="161">
        <f t="shared" si="9"/>
      </c>
      <c r="O14" s="162">
        <f t="shared" si="1"/>
      </c>
      <c r="P14" s="158">
        <f t="shared" si="10"/>
      </c>
      <c r="Q14" s="161">
        <f t="shared" si="11"/>
      </c>
      <c r="R14" s="161">
        <f t="shared" si="12"/>
      </c>
      <c r="S14" s="162">
        <f t="shared" si="2"/>
      </c>
    </row>
    <row r="15" spans="2:19" ht="15.75">
      <c r="B15" s="451" t="s">
        <v>658</v>
      </c>
      <c r="C15" s="102"/>
      <c r="D15" s="158">
        <f t="shared" si="3"/>
      </c>
      <c r="E15" s="161">
        <f t="shared" si="13"/>
      </c>
      <c r="F15" s="161">
        <f t="shared" si="14"/>
      </c>
      <c r="G15" s="163">
        <f t="shared" si="15"/>
      </c>
      <c r="H15" s="158">
        <f t="shared" si="4"/>
      </c>
      <c r="I15" s="161">
        <f t="shared" si="5"/>
      </c>
      <c r="J15" s="161">
        <f t="shared" si="6"/>
      </c>
      <c r="K15" s="162">
        <f t="shared" si="0"/>
      </c>
      <c r="L15" s="158">
        <f t="shared" si="7"/>
      </c>
      <c r="M15" s="161">
        <f t="shared" si="8"/>
      </c>
      <c r="N15" s="161">
        <f t="shared" si="9"/>
      </c>
      <c r="O15" s="162">
        <f t="shared" si="1"/>
      </c>
      <c r="P15" s="158">
        <f t="shared" si="10"/>
      </c>
      <c r="Q15" s="161">
        <f t="shared" si="11"/>
      </c>
      <c r="R15" s="161">
        <f t="shared" si="12"/>
      </c>
      <c r="S15" s="162">
        <f t="shared" si="2"/>
      </c>
    </row>
    <row r="16" spans="2:19" ht="15.75">
      <c r="B16" s="442" t="s">
        <v>659</v>
      </c>
      <c r="C16" s="102"/>
      <c r="D16" s="158">
        <f t="shared" si="3"/>
      </c>
      <c r="E16" s="161">
        <f t="shared" si="13"/>
      </c>
      <c r="F16" s="161">
        <f t="shared" si="14"/>
      </c>
      <c r="G16" s="163">
        <f t="shared" si="15"/>
      </c>
      <c r="H16" s="158">
        <f t="shared" si="4"/>
      </c>
      <c r="I16" s="161">
        <f t="shared" si="5"/>
      </c>
      <c r="J16" s="161">
        <f t="shared" si="6"/>
      </c>
      <c r="K16" s="162">
        <f t="shared" si="0"/>
      </c>
      <c r="L16" s="158">
        <f t="shared" si="7"/>
      </c>
      <c r="M16" s="161">
        <f t="shared" si="8"/>
      </c>
      <c r="N16" s="161">
        <f t="shared" si="9"/>
      </c>
      <c r="O16" s="162">
        <f t="shared" si="1"/>
      </c>
      <c r="P16" s="158">
        <f t="shared" si="10"/>
      </c>
      <c r="Q16" s="161">
        <f t="shared" si="11"/>
      </c>
      <c r="R16" s="161">
        <f t="shared" si="12"/>
      </c>
      <c r="S16" s="162">
        <f t="shared" si="2"/>
      </c>
    </row>
    <row r="17" spans="2:19" ht="15">
      <c r="B17" s="97" t="s">
        <v>667</v>
      </c>
      <c r="C17" s="445"/>
      <c r="D17" s="158">
        <f t="shared" si="3"/>
      </c>
      <c r="E17" s="161">
        <f t="shared" si="13"/>
      </c>
      <c r="F17" s="161">
        <f t="shared" si="14"/>
      </c>
      <c r="G17" s="163">
        <f t="shared" si="15"/>
      </c>
      <c r="H17" s="158">
        <f t="shared" si="4"/>
      </c>
      <c r="I17" s="161">
        <f t="shared" si="5"/>
      </c>
      <c r="J17" s="161">
        <f t="shared" si="6"/>
      </c>
      <c r="K17" s="162">
        <f t="shared" si="0"/>
      </c>
      <c r="L17" s="158">
        <f t="shared" si="7"/>
      </c>
      <c r="M17" s="161">
        <f t="shared" si="8"/>
      </c>
      <c r="N17" s="161">
        <f t="shared" si="9"/>
      </c>
      <c r="O17" s="162">
        <f t="shared" si="1"/>
      </c>
      <c r="P17" s="158">
        <f t="shared" si="10"/>
      </c>
      <c r="Q17" s="161">
        <f t="shared" si="11"/>
      </c>
      <c r="R17" s="161">
        <f t="shared" si="12"/>
      </c>
      <c r="S17" s="162">
        <f t="shared" si="2"/>
      </c>
    </row>
    <row r="18" spans="2:19" ht="15">
      <c r="B18" s="100"/>
      <c r="C18" s="441"/>
      <c r="D18" s="158">
        <f t="shared" si="3"/>
      </c>
      <c r="E18" s="161">
        <f t="shared" si="13"/>
      </c>
      <c r="F18" s="161">
        <f t="shared" si="14"/>
      </c>
      <c r="G18" s="163">
        <f t="shared" si="15"/>
      </c>
      <c r="H18" s="158">
        <f t="shared" si="4"/>
      </c>
      <c r="I18" s="161">
        <f t="shared" si="5"/>
      </c>
      <c r="J18" s="161">
        <f t="shared" si="6"/>
      </c>
      <c r="K18" s="162">
        <f t="shared" si="0"/>
      </c>
      <c r="L18" s="158">
        <f t="shared" si="7"/>
      </c>
      <c r="M18" s="161">
        <f t="shared" si="8"/>
      </c>
      <c r="N18" s="161">
        <f t="shared" si="9"/>
      </c>
      <c r="O18" s="162">
        <f t="shared" si="1"/>
      </c>
      <c r="P18" s="158">
        <f t="shared" si="10"/>
      </c>
      <c r="Q18" s="161">
        <f t="shared" si="11"/>
      </c>
      <c r="R18" s="161">
        <f t="shared" si="12"/>
      </c>
      <c r="S18" s="162">
        <f t="shared" si="2"/>
      </c>
    </row>
    <row r="19" spans="2:19" ht="15.75">
      <c r="B19" s="442" t="s">
        <v>653</v>
      </c>
      <c r="C19" s="440"/>
      <c r="D19" s="158">
        <f t="shared" si="3"/>
      </c>
      <c r="E19" s="161">
        <f t="shared" si="13"/>
      </c>
      <c r="F19" s="161">
        <f t="shared" si="14"/>
      </c>
      <c r="G19" s="163">
        <f t="shared" si="15"/>
      </c>
      <c r="H19" s="158">
        <f t="shared" si="4"/>
      </c>
      <c r="I19" s="161">
        <f t="shared" si="5"/>
      </c>
      <c r="J19" s="161">
        <f t="shared" si="6"/>
      </c>
      <c r="K19" s="162">
        <f t="shared" si="0"/>
      </c>
      <c r="L19" s="158">
        <f t="shared" si="7"/>
      </c>
      <c r="M19" s="161">
        <f t="shared" si="8"/>
      </c>
      <c r="N19" s="161">
        <f t="shared" si="9"/>
      </c>
      <c r="O19" s="162">
        <f t="shared" si="1"/>
      </c>
      <c r="P19" s="158">
        <f t="shared" si="10"/>
      </c>
      <c r="Q19" s="161">
        <f t="shared" si="11"/>
      </c>
      <c r="R19" s="161">
        <f t="shared" si="12"/>
      </c>
      <c r="S19" s="162">
        <f t="shared" si="2"/>
      </c>
    </row>
    <row r="20" spans="2:19" ht="15">
      <c r="B20" s="443" t="s">
        <v>654</v>
      </c>
      <c r="C20" s="444">
        <v>0.0001</v>
      </c>
      <c r="D20" s="158">
        <f t="shared" si="3"/>
      </c>
      <c r="E20" s="161">
        <f t="shared" si="13"/>
      </c>
      <c r="F20" s="161">
        <f t="shared" si="14"/>
      </c>
      <c r="G20" s="163">
        <f t="shared" si="15"/>
      </c>
      <c r="H20" s="158">
        <f t="shared" si="4"/>
      </c>
      <c r="I20" s="161">
        <f t="shared" si="5"/>
      </c>
      <c r="J20" s="161">
        <f t="shared" si="6"/>
      </c>
      <c r="K20" s="162">
        <f t="shared" si="0"/>
      </c>
      <c r="L20" s="158">
        <f t="shared" si="7"/>
      </c>
      <c r="M20" s="161">
        <f t="shared" si="8"/>
      </c>
      <c r="N20" s="161">
        <f t="shared" si="9"/>
      </c>
      <c r="O20" s="162">
        <f t="shared" si="1"/>
      </c>
      <c r="P20" s="158">
        <f t="shared" si="10"/>
      </c>
      <c r="Q20" s="161">
        <f t="shared" si="11"/>
      </c>
      <c r="R20" s="161">
        <f t="shared" si="12"/>
      </c>
      <c r="S20" s="162">
        <f t="shared" si="2"/>
      </c>
    </row>
    <row r="21" spans="2:19" ht="15">
      <c r="B21" s="97"/>
      <c r="C21" s="101"/>
      <c r="D21" s="158">
        <f t="shared" si="3"/>
      </c>
      <c r="E21" s="161">
        <f t="shared" si="13"/>
      </c>
      <c r="F21" s="161">
        <f t="shared" si="14"/>
      </c>
      <c r="G21" s="163">
        <f t="shared" si="15"/>
      </c>
      <c r="H21" s="158">
        <f t="shared" si="4"/>
      </c>
      <c r="I21" s="161">
        <f t="shared" si="5"/>
      </c>
      <c r="J21" s="161">
        <f t="shared" si="6"/>
      </c>
      <c r="K21" s="162">
        <f t="shared" si="0"/>
      </c>
      <c r="L21" s="158">
        <f t="shared" si="7"/>
      </c>
      <c r="M21" s="161">
        <f t="shared" si="8"/>
      </c>
      <c r="N21" s="161">
        <f t="shared" si="9"/>
      </c>
      <c r="O21" s="162">
        <f t="shared" si="1"/>
      </c>
      <c r="P21" s="158">
        <f t="shared" si="10"/>
      </c>
      <c r="Q21" s="161">
        <f t="shared" si="11"/>
      </c>
      <c r="R21" s="161">
        <f t="shared" si="12"/>
      </c>
      <c r="S21" s="162">
        <f t="shared" si="2"/>
      </c>
    </row>
    <row r="22" spans="2:19" ht="15.75">
      <c r="B22" s="451">
        <f>IF(C9="","","Number of Holes")</f>
      </c>
      <c r="C22" s="452"/>
      <c r="D22" s="158">
        <f t="shared" si="3"/>
      </c>
      <c r="E22" s="161">
        <f t="shared" si="13"/>
      </c>
      <c r="F22" s="161">
        <f t="shared" si="14"/>
      </c>
      <c r="G22" s="163">
        <f t="shared" si="15"/>
      </c>
      <c r="H22" s="158">
        <f t="shared" si="4"/>
      </c>
      <c r="I22" s="161">
        <f t="shared" si="5"/>
      </c>
      <c r="J22" s="161">
        <f t="shared" si="6"/>
      </c>
      <c r="K22" s="162">
        <f t="shared" si="0"/>
      </c>
      <c r="L22" s="158">
        <f t="shared" si="7"/>
      </c>
      <c r="M22" s="161">
        <f t="shared" si="8"/>
      </c>
      <c r="N22" s="161">
        <f t="shared" si="9"/>
      </c>
      <c r="O22" s="162">
        <f t="shared" si="1"/>
      </c>
      <c r="P22" s="158">
        <f t="shared" si="10"/>
      </c>
      <c r="Q22" s="161">
        <f t="shared" si="11"/>
      </c>
      <c r="R22" s="161">
        <f t="shared" si="12"/>
      </c>
      <c r="S22" s="162">
        <f t="shared" si="2"/>
      </c>
    </row>
    <row r="23" spans="2:19" ht="15.75">
      <c r="B23" s="442">
        <f>IF(C9="","","Per Revolution")</f>
      </c>
      <c r="C23" s="453"/>
      <c r="D23" s="158">
        <f t="shared" si="3"/>
      </c>
      <c r="E23" s="161">
        <f t="shared" si="13"/>
      </c>
      <c r="F23" s="161">
        <f t="shared" si="14"/>
      </c>
      <c r="G23" s="163">
        <f t="shared" si="15"/>
      </c>
      <c r="H23" s="158">
        <f t="shared" si="4"/>
      </c>
      <c r="I23" s="161">
        <f t="shared" si="5"/>
      </c>
      <c r="J23" s="161">
        <f t="shared" si="6"/>
      </c>
      <c r="K23" s="162">
        <f t="shared" si="0"/>
      </c>
      <c r="L23" s="158">
        <f t="shared" si="7"/>
      </c>
      <c r="M23" s="161">
        <f t="shared" si="8"/>
      </c>
      <c r="N23" s="161">
        <f t="shared" si="9"/>
      </c>
      <c r="O23" s="162">
        <f t="shared" si="1"/>
      </c>
      <c r="P23" s="158">
        <f t="shared" si="10"/>
      </c>
      <c r="Q23" s="161">
        <f t="shared" si="11"/>
      </c>
      <c r="R23" s="161">
        <f t="shared" si="12"/>
      </c>
      <c r="S23" s="162">
        <f t="shared" si="2"/>
      </c>
    </row>
    <row r="24" spans="2:19" ht="15">
      <c r="B24" s="443">
        <f>IF(C9="","","Holes =")</f>
      </c>
      <c r="C24" s="454">
        <f>IF(C9="","",ABS(360/C9))</f>
      </c>
      <c r="D24" s="158">
        <f t="shared" si="3"/>
      </c>
      <c r="E24" s="161">
        <f t="shared" si="13"/>
      </c>
      <c r="F24" s="161">
        <f t="shared" si="14"/>
      </c>
      <c r="G24" s="163">
        <f t="shared" si="15"/>
      </c>
      <c r="H24" s="158">
        <f t="shared" si="4"/>
      </c>
      <c r="I24" s="161">
        <f t="shared" si="5"/>
      </c>
      <c r="J24" s="161">
        <f t="shared" si="6"/>
      </c>
      <c r="K24" s="162">
        <f t="shared" si="0"/>
      </c>
      <c r="L24" s="158">
        <f t="shared" si="7"/>
      </c>
      <c r="M24" s="161">
        <f t="shared" si="8"/>
      </c>
      <c r="N24" s="161">
        <f t="shared" si="9"/>
      </c>
      <c r="O24" s="162">
        <f t="shared" si="1"/>
      </c>
      <c r="P24" s="158">
        <f t="shared" si="10"/>
      </c>
      <c r="Q24" s="161">
        <f t="shared" si="11"/>
      </c>
      <c r="R24" s="161">
        <f t="shared" si="12"/>
      </c>
      <c r="S24" s="162">
        <f t="shared" si="2"/>
      </c>
    </row>
    <row r="25" spans="2:19" ht="15">
      <c r="B25" s="97"/>
      <c r="C25" s="101"/>
      <c r="D25" s="158">
        <f t="shared" si="3"/>
      </c>
      <c r="E25" s="161">
        <f t="shared" si="13"/>
      </c>
      <c r="F25" s="161">
        <f t="shared" si="14"/>
      </c>
      <c r="G25" s="163">
        <f t="shared" si="15"/>
      </c>
      <c r="H25" s="158">
        <f t="shared" si="4"/>
      </c>
      <c r="I25" s="161">
        <f t="shared" si="5"/>
      </c>
      <c r="J25" s="161">
        <f t="shared" si="6"/>
      </c>
      <c r="K25" s="162">
        <f t="shared" si="0"/>
      </c>
      <c r="L25" s="158">
        <f t="shared" si="7"/>
      </c>
      <c r="M25" s="161">
        <f t="shared" si="8"/>
      </c>
      <c r="N25" s="161">
        <f t="shared" si="9"/>
      </c>
      <c r="O25" s="162">
        <f t="shared" si="1"/>
      </c>
      <c r="P25" s="158">
        <f t="shared" si="10"/>
      </c>
      <c r="Q25" s="161">
        <f t="shared" si="11"/>
      </c>
      <c r="R25" s="161">
        <f t="shared" si="12"/>
      </c>
      <c r="S25" s="162">
        <f t="shared" si="2"/>
      </c>
    </row>
    <row r="26" spans="2:19" ht="15.75">
      <c r="B26" s="442">
        <f>IF(C12="","","Offset Per Revolution")</f>
      </c>
      <c r="C26" s="102"/>
      <c r="D26" s="158">
        <f t="shared" si="3"/>
      </c>
      <c r="E26" s="161">
        <f t="shared" si="13"/>
      </c>
      <c r="F26" s="161">
        <f t="shared" si="14"/>
      </c>
      <c r="G26" s="163">
        <f t="shared" si="15"/>
      </c>
      <c r="H26" s="158">
        <f t="shared" si="4"/>
      </c>
      <c r="I26" s="161">
        <f t="shared" si="5"/>
      </c>
      <c r="J26" s="161">
        <f t="shared" si="6"/>
      </c>
      <c r="K26" s="162">
        <f t="shared" si="0"/>
      </c>
      <c r="L26" s="158">
        <f t="shared" si="7"/>
      </c>
      <c r="M26" s="161">
        <f t="shared" si="8"/>
      </c>
      <c r="N26" s="161">
        <f t="shared" si="9"/>
      </c>
      <c r="O26" s="162">
        <f t="shared" si="1"/>
      </c>
      <c r="P26" s="158">
        <f t="shared" si="10"/>
      </c>
      <c r="Q26" s="161">
        <f t="shared" si="11"/>
      </c>
      <c r="R26" s="161">
        <f t="shared" si="12"/>
      </c>
      <c r="S26" s="162">
        <f t="shared" si="2"/>
      </c>
    </row>
    <row r="27" spans="2:19" ht="15">
      <c r="B27" s="97">
        <f>IF(C12="","","Offset =")</f>
      </c>
      <c r="C27" s="455">
        <f>IF(C12="","",SUM(C12*C24))</f>
      </c>
      <c r="D27" s="158">
        <f t="shared" si="3"/>
      </c>
      <c r="E27" s="161">
        <f t="shared" si="13"/>
      </c>
      <c r="F27" s="161">
        <f t="shared" si="14"/>
      </c>
      <c r="G27" s="163">
        <f t="shared" si="15"/>
      </c>
      <c r="H27" s="158">
        <f t="shared" si="4"/>
      </c>
      <c r="I27" s="161">
        <f t="shared" si="5"/>
      </c>
      <c r="J27" s="161">
        <f t="shared" si="6"/>
      </c>
      <c r="K27" s="162">
        <f t="shared" si="0"/>
      </c>
      <c r="L27" s="158">
        <f t="shared" si="7"/>
      </c>
      <c r="M27" s="161">
        <f t="shared" si="8"/>
      </c>
      <c r="N27" s="161">
        <f t="shared" si="9"/>
      </c>
      <c r="O27" s="162">
        <f t="shared" si="1"/>
      </c>
      <c r="P27" s="158">
        <f t="shared" si="10"/>
      </c>
      <c r="Q27" s="161">
        <f t="shared" si="11"/>
      </c>
      <c r="R27" s="161">
        <f t="shared" si="12"/>
      </c>
      <c r="S27" s="162">
        <f t="shared" si="2"/>
      </c>
    </row>
    <row r="28" spans="2:19" ht="15">
      <c r="B28" s="97"/>
      <c r="C28" s="101"/>
      <c r="D28" s="158">
        <f t="shared" si="3"/>
      </c>
      <c r="E28" s="161">
        <f t="shared" si="13"/>
      </c>
      <c r="F28" s="161">
        <f t="shared" si="14"/>
      </c>
      <c r="G28" s="163">
        <f t="shared" si="15"/>
      </c>
      <c r="H28" s="158">
        <f t="shared" si="4"/>
      </c>
      <c r="I28" s="161">
        <f t="shared" si="5"/>
      </c>
      <c r="J28" s="161">
        <f t="shared" si="6"/>
      </c>
      <c r="K28" s="162">
        <f t="shared" si="0"/>
      </c>
      <c r="L28" s="158">
        <f t="shared" si="7"/>
      </c>
      <c r="M28" s="161">
        <f t="shared" si="8"/>
      </c>
      <c r="N28" s="161">
        <f t="shared" si="9"/>
      </c>
      <c r="O28" s="162">
        <f t="shared" si="1"/>
      </c>
      <c r="P28" s="158">
        <f t="shared" si="10"/>
      </c>
      <c r="Q28" s="161">
        <f t="shared" si="11"/>
      </c>
      <c r="R28" s="161">
        <f t="shared" si="12"/>
      </c>
      <c r="S28" s="162">
        <f t="shared" si="2"/>
      </c>
    </row>
    <row r="29" spans="2:19" ht="15.75">
      <c r="B29" s="442">
        <f>IF(C13="","","Offset Per Hole")</f>
      </c>
      <c r="C29" s="102"/>
      <c r="D29" s="158">
        <f t="shared" si="3"/>
      </c>
      <c r="E29" s="161">
        <f t="shared" si="13"/>
      </c>
      <c r="F29" s="161">
        <f t="shared" si="14"/>
      </c>
      <c r="G29" s="163">
        <f t="shared" si="15"/>
      </c>
      <c r="H29" s="158">
        <f t="shared" si="4"/>
      </c>
      <c r="I29" s="161">
        <f t="shared" si="5"/>
      </c>
      <c r="J29" s="161">
        <f t="shared" si="6"/>
      </c>
      <c r="K29" s="162">
        <f t="shared" si="0"/>
      </c>
      <c r="L29" s="158">
        <f t="shared" si="7"/>
      </c>
      <c r="M29" s="161">
        <f t="shared" si="8"/>
      </c>
      <c r="N29" s="161">
        <f t="shared" si="9"/>
      </c>
      <c r="O29" s="162">
        <f t="shared" si="1"/>
      </c>
      <c r="P29" s="158">
        <f t="shared" si="10"/>
      </c>
      <c r="Q29" s="161">
        <f t="shared" si="11"/>
      </c>
      <c r="R29" s="161">
        <f t="shared" si="12"/>
      </c>
      <c r="S29" s="162">
        <f t="shared" si="2"/>
      </c>
    </row>
    <row r="30" spans="2:19" ht="15">
      <c r="B30" s="97">
        <f>IF(C13="","","Offset =")</f>
      </c>
      <c r="C30" s="152">
        <f>IF(C13="","",C13/C24)</f>
      </c>
      <c r="D30" s="158">
        <f t="shared" si="3"/>
      </c>
      <c r="E30" s="161">
        <f t="shared" si="13"/>
      </c>
      <c r="F30" s="161">
        <f t="shared" si="14"/>
      </c>
      <c r="G30" s="163">
        <f t="shared" si="15"/>
      </c>
      <c r="H30" s="158">
        <f t="shared" si="4"/>
      </c>
      <c r="I30" s="161">
        <f t="shared" si="5"/>
      </c>
      <c r="J30" s="161">
        <f t="shared" si="6"/>
      </c>
      <c r="K30" s="162">
        <f t="shared" si="0"/>
      </c>
      <c r="L30" s="158">
        <f t="shared" si="7"/>
      </c>
      <c r="M30" s="161">
        <f t="shared" si="8"/>
      </c>
      <c r="N30" s="161">
        <f t="shared" si="9"/>
      </c>
      <c r="O30" s="162">
        <f t="shared" si="1"/>
      </c>
      <c r="P30" s="158">
        <f t="shared" si="10"/>
      </c>
      <c r="Q30" s="161">
        <f t="shared" si="11"/>
      </c>
      <c r="R30" s="161">
        <f t="shared" si="12"/>
      </c>
      <c r="S30" s="162">
        <f t="shared" si="2"/>
      </c>
    </row>
    <row r="31" spans="2:19" ht="15">
      <c r="B31" s="97"/>
      <c r="C31" s="133"/>
      <c r="D31" s="158">
        <f t="shared" si="3"/>
      </c>
      <c r="E31" s="161">
        <f t="shared" si="13"/>
      </c>
      <c r="F31" s="161">
        <f t="shared" si="14"/>
      </c>
      <c r="G31" s="163">
        <f t="shared" si="15"/>
      </c>
      <c r="H31" s="158">
        <f t="shared" si="4"/>
      </c>
      <c r="I31" s="161">
        <f t="shared" si="5"/>
      </c>
      <c r="J31" s="161">
        <f t="shared" si="6"/>
      </c>
      <c r="K31" s="162">
        <f t="shared" si="0"/>
      </c>
      <c r="L31" s="158">
        <f t="shared" si="7"/>
      </c>
      <c r="M31" s="161">
        <f t="shared" si="8"/>
      </c>
      <c r="N31" s="161">
        <f t="shared" si="9"/>
      </c>
      <c r="O31" s="162">
        <f t="shared" si="1"/>
      </c>
      <c r="P31" s="158">
        <f t="shared" si="10"/>
      </c>
      <c r="Q31" s="161">
        <f t="shared" si="11"/>
      </c>
      <c r="R31" s="161">
        <f t="shared" si="12"/>
      </c>
      <c r="S31" s="162">
        <f t="shared" si="2"/>
      </c>
    </row>
    <row r="32" spans="2:19" ht="15.75">
      <c r="B32" s="442" t="s">
        <v>971</v>
      </c>
      <c r="C32" s="102"/>
      <c r="D32" s="158">
        <f t="shared" si="3"/>
      </c>
      <c r="E32" s="161">
        <f t="shared" si="13"/>
      </c>
      <c r="F32" s="161">
        <f t="shared" si="14"/>
      </c>
      <c r="G32" s="163">
        <f t="shared" si="15"/>
      </c>
      <c r="H32" s="158">
        <f t="shared" si="4"/>
      </c>
      <c r="I32" s="161">
        <f t="shared" si="5"/>
      </c>
      <c r="J32" s="161">
        <f t="shared" si="6"/>
      </c>
      <c r="K32" s="162">
        <f t="shared" si="0"/>
      </c>
      <c r="L32" s="158">
        <f t="shared" si="7"/>
      </c>
      <c r="M32" s="161">
        <f t="shared" si="8"/>
      </c>
      <c r="N32" s="161">
        <f t="shared" si="9"/>
      </c>
      <c r="O32" s="162">
        <f t="shared" si="1"/>
      </c>
      <c r="P32" s="158">
        <f t="shared" si="10"/>
      </c>
      <c r="Q32" s="161">
        <f t="shared" si="11"/>
      </c>
      <c r="R32" s="161">
        <f t="shared" si="12"/>
      </c>
      <c r="S32" s="162">
        <f t="shared" si="2"/>
      </c>
    </row>
    <row r="33" spans="2:19" ht="15">
      <c r="B33" s="97">
        <f>IF(G4="","",TRUNC(G4))</f>
      </c>
      <c r="C33" s="98" t="s">
        <v>90</v>
      </c>
      <c r="D33" s="158">
        <f t="shared" si="3"/>
      </c>
      <c r="E33" s="161">
        <f t="shared" si="13"/>
      </c>
      <c r="F33" s="161">
        <f t="shared" si="14"/>
      </c>
      <c r="G33" s="163">
        <f t="shared" si="15"/>
      </c>
      <c r="H33" s="158">
        <f t="shared" si="4"/>
      </c>
      <c r="I33" s="161">
        <f t="shared" si="5"/>
      </c>
      <c r="J33" s="161">
        <f t="shared" si="6"/>
      </c>
      <c r="K33" s="162">
        <f t="shared" si="0"/>
      </c>
      <c r="L33" s="158">
        <f t="shared" si="7"/>
      </c>
      <c r="M33" s="161">
        <f t="shared" si="8"/>
      </c>
      <c r="N33" s="161">
        <f t="shared" si="9"/>
      </c>
      <c r="O33" s="162">
        <f t="shared" si="1"/>
      </c>
      <c r="P33" s="158">
        <f t="shared" si="10"/>
      </c>
      <c r="Q33" s="161">
        <f t="shared" si="11"/>
      </c>
      <c r="R33" s="161">
        <f t="shared" si="12"/>
      </c>
      <c r="S33" s="162">
        <f t="shared" si="2"/>
      </c>
    </row>
    <row r="34" spans="2:19" ht="15">
      <c r="B34" s="97">
        <f>IF(G4="","",TRUNC((G4-B33)*60))</f>
      </c>
      <c r="C34" s="98" t="s">
        <v>111</v>
      </c>
      <c r="D34" s="158">
        <f t="shared" si="3"/>
      </c>
      <c r="E34" s="161">
        <f t="shared" si="13"/>
      </c>
      <c r="F34" s="161">
        <f t="shared" si="14"/>
      </c>
      <c r="G34" s="163">
        <f t="shared" si="15"/>
      </c>
      <c r="H34" s="158">
        <f t="shared" si="4"/>
      </c>
      <c r="I34" s="161">
        <f t="shared" si="5"/>
      </c>
      <c r="J34" s="161">
        <f t="shared" si="6"/>
      </c>
      <c r="K34" s="162">
        <f t="shared" si="0"/>
      </c>
      <c r="L34" s="158">
        <f t="shared" si="7"/>
      </c>
      <c r="M34" s="161">
        <f t="shared" si="8"/>
      </c>
      <c r="N34" s="161">
        <f t="shared" si="9"/>
      </c>
      <c r="O34" s="162">
        <f t="shared" si="1"/>
      </c>
      <c r="P34" s="158">
        <f t="shared" si="10"/>
      </c>
      <c r="Q34" s="161">
        <f t="shared" si="11"/>
      </c>
      <c r="R34" s="161">
        <f t="shared" si="12"/>
      </c>
      <c r="S34" s="162">
        <f t="shared" si="2"/>
      </c>
    </row>
    <row r="35" spans="2:19" ht="15">
      <c r="B35" s="97">
        <f>IF(G4="","",((G4-B33)*60-B34)*60)</f>
      </c>
      <c r="C35" s="98" t="s">
        <v>112</v>
      </c>
      <c r="D35" s="158">
        <f t="shared" si="3"/>
      </c>
      <c r="E35" s="161">
        <f t="shared" si="13"/>
      </c>
      <c r="F35" s="161">
        <f t="shared" si="14"/>
      </c>
      <c r="G35" s="163">
        <f t="shared" si="15"/>
      </c>
      <c r="H35" s="158">
        <f t="shared" si="4"/>
      </c>
      <c r="I35" s="161">
        <f t="shared" si="5"/>
      </c>
      <c r="J35" s="161">
        <f t="shared" si="6"/>
      </c>
      <c r="K35" s="162">
        <f t="shared" si="0"/>
      </c>
      <c r="L35" s="158">
        <f t="shared" si="7"/>
      </c>
      <c r="M35" s="161">
        <f t="shared" si="8"/>
      </c>
      <c r="N35" s="161">
        <f t="shared" si="9"/>
      </c>
      <c r="O35" s="162">
        <f t="shared" si="1"/>
      </c>
      <c r="P35" s="158">
        <f t="shared" si="10"/>
      </c>
      <c r="Q35" s="161">
        <f t="shared" si="11"/>
      </c>
      <c r="R35" s="161">
        <f t="shared" si="12"/>
      </c>
      <c r="S35" s="162">
        <f t="shared" si="2"/>
      </c>
    </row>
    <row r="36" spans="2:19" ht="15">
      <c r="B36" s="97"/>
      <c r="C36" s="101"/>
      <c r="D36" s="158">
        <f t="shared" si="3"/>
      </c>
      <c r="E36" s="161">
        <f t="shared" si="13"/>
      </c>
      <c r="F36" s="161">
        <f t="shared" si="14"/>
      </c>
      <c r="G36" s="163">
        <f t="shared" si="15"/>
      </c>
      <c r="H36" s="158">
        <f t="shared" si="4"/>
      </c>
      <c r="I36" s="161">
        <f t="shared" si="5"/>
      </c>
      <c r="J36" s="161">
        <f t="shared" si="6"/>
      </c>
      <c r="K36" s="162">
        <f aca="true" t="shared" si="16" ref="K36:K52">IF(H36="","",K35+$G$4)</f>
      </c>
      <c r="L36" s="158">
        <f t="shared" si="7"/>
      </c>
      <c r="M36" s="161">
        <f t="shared" si="8"/>
      </c>
      <c r="N36" s="161">
        <f t="shared" si="9"/>
      </c>
      <c r="O36" s="162">
        <f t="shared" si="1"/>
      </c>
      <c r="P36" s="158">
        <f t="shared" si="10"/>
      </c>
      <c r="Q36" s="161">
        <f t="shared" si="11"/>
      </c>
      <c r="R36" s="161">
        <f t="shared" si="12"/>
      </c>
      <c r="S36" s="162">
        <f t="shared" si="2"/>
      </c>
    </row>
    <row r="37" spans="2:19" ht="15.75">
      <c r="B37" s="442" t="s">
        <v>671</v>
      </c>
      <c r="C37" s="102"/>
      <c r="D37" s="158">
        <f t="shared" si="3"/>
      </c>
      <c r="E37" s="161">
        <f t="shared" si="13"/>
      </c>
      <c r="F37" s="161">
        <f t="shared" si="14"/>
      </c>
      <c r="G37" s="163">
        <f t="shared" si="15"/>
      </c>
      <c r="H37" s="158">
        <f t="shared" si="4"/>
      </c>
      <c r="I37" s="161">
        <f t="shared" si="5"/>
      </c>
      <c r="J37" s="161">
        <f t="shared" si="6"/>
      </c>
      <c r="K37" s="162">
        <f t="shared" si="16"/>
      </c>
      <c r="L37" s="158">
        <f t="shared" si="7"/>
      </c>
      <c r="M37" s="161">
        <f t="shared" si="8"/>
      </c>
      <c r="N37" s="161">
        <f t="shared" si="9"/>
      </c>
      <c r="O37" s="162">
        <f t="shared" si="1"/>
      </c>
      <c r="P37" s="158">
        <f t="shared" si="10"/>
      </c>
      <c r="Q37" s="161">
        <f t="shared" si="11"/>
      </c>
      <c r="R37" s="161">
        <f t="shared" si="12"/>
      </c>
      <c r="S37" s="162">
        <f t="shared" si="2"/>
      </c>
    </row>
    <row r="38" spans="2:19" ht="15">
      <c r="B38" s="458">
        <f>IF(C9="","",IF(C9&gt;0,"Clockwise    &gt;","&lt;    Counter Clockwise"))</f>
      </c>
      <c r="C38" s="102"/>
      <c r="D38" s="158">
        <f t="shared" si="3"/>
      </c>
      <c r="E38" s="161">
        <f t="shared" si="13"/>
      </c>
      <c r="F38" s="161">
        <f t="shared" si="14"/>
      </c>
      <c r="G38" s="163">
        <f t="shared" si="15"/>
      </c>
      <c r="H38" s="158">
        <f t="shared" si="4"/>
      </c>
      <c r="I38" s="161">
        <f t="shared" si="5"/>
      </c>
      <c r="J38" s="161">
        <f t="shared" si="6"/>
      </c>
      <c r="K38" s="162">
        <f t="shared" si="16"/>
      </c>
      <c r="L38" s="158">
        <f t="shared" si="7"/>
      </c>
      <c r="M38" s="161">
        <f t="shared" si="8"/>
      </c>
      <c r="N38" s="161">
        <f t="shared" si="9"/>
      </c>
      <c r="O38" s="162">
        <f t="shared" si="1"/>
      </c>
      <c r="P38" s="158">
        <f t="shared" si="10"/>
      </c>
      <c r="Q38" s="161">
        <f t="shared" si="11"/>
      </c>
      <c r="R38" s="161">
        <f t="shared" si="12"/>
      </c>
      <c r="S38" s="162">
        <f t="shared" si="2"/>
      </c>
    </row>
    <row r="39" spans="2:19" ht="15">
      <c r="B39" s="97"/>
      <c r="C39" s="101"/>
      <c r="D39" s="158">
        <f t="shared" si="3"/>
      </c>
      <c r="E39" s="161">
        <f t="shared" si="13"/>
      </c>
      <c r="F39" s="161">
        <f t="shared" si="14"/>
      </c>
      <c r="G39" s="163">
        <f t="shared" si="15"/>
      </c>
      <c r="H39" s="158">
        <f t="shared" si="4"/>
      </c>
      <c r="I39" s="161">
        <f t="shared" si="5"/>
      </c>
      <c r="J39" s="161">
        <f t="shared" si="6"/>
      </c>
      <c r="K39" s="162">
        <f t="shared" si="16"/>
      </c>
      <c r="L39" s="158">
        <f t="shared" si="7"/>
      </c>
      <c r="M39" s="161">
        <f t="shared" si="8"/>
      </c>
      <c r="N39" s="161">
        <f t="shared" si="9"/>
      </c>
      <c r="O39" s="162">
        <f t="shared" si="1"/>
      </c>
      <c r="P39" s="158">
        <f t="shared" si="10"/>
      </c>
      <c r="Q39" s="161">
        <f t="shared" si="11"/>
      </c>
      <c r="R39" s="161">
        <f t="shared" si="12"/>
      </c>
      <c r="S39" s="162">
        <f t="shared" si="2"/>
      </c>
    </row>
    <row r="40" spans="2:19" ht="15.75">
      <c r="B40" s="442" t="s">
        <v>672</v>
      </c>
      <c r="C40" s="102"/>
      <c r="D40" s="158">
        <f t="shared" si="3"/>
      </c>
      <c r="E40" s="161">
        <f t="shared" si="13"/>
      </c>
      <c r="F40" s="161">
        <f t="shared" si="14"/>
      </c>
      <c r="G40" s="163">
        <f t="shared" si="15"/>
      </c>
      <c r="H40" s="158">
        <f t="shared" si="4"/>
      </c>
      <c r="I40" s="161">
        <f t="shared" si="5"/>
      </c>
      <c r="J40" s="161">
        <f t="shared" si="6"/>
      </c>
      <c r="K40" s="162">
        <f t="shared" si="16"/>
      </c>
      <c r="L40" s="158">
        <f t="shared" si="7"/>
      </c>
      <c r="M40" s="161">
        <f t="shared" si="8"/>
      </c>
      <c r="N40" s="161">
        <f t="shared" si="9"/>
      </c>
      <c r="O40" s="162">
        <f t="shared" si="1"/>
      </c>
      <c r="P40" s="158">
        <f t="shared" si="10"/>
      </c>
      <c r="Q40" s="161">
        <f t="shared" si="11"/>
      </c>
      <c r="R40" s="161">
        <f t="shared" si="12"/>
      </c>
      <c r="S40" s="162">
        <f t="shared" si="2"/>
      </c>
    </row>
    <row r="41" spans="2:19" ht="15">
      <c r="B41" s="459" t="str">
        <f>IF(C12+C13="","None",IF(C12+C13&gt;0,"Outward","Inward"))</f>
        <v>None</v>
      </c>
      <c r="C41" s="102"/>
      <c r="D41" s="158">
        <f t="shared" si="3"/>
      </c>
      <c r="E41" s="161">
        <f t="shared" si="13"/>
      </c>
      <c r="F41" s="161">
        <f t="shared" si="14"/>
      </c>
      <c r="G41" s="163">
        <f t="shared" si="15"/>
      </c>
      <c r="H41" s="158">
        <f t="shared" si="4"/>
      </c>
      <c r="I41" s="161">
        <f t="shared" si="5"/>
      </c>
      <c r="J41" s="161">
        <f t="shared" si="6"/>
      </c>
      <c r="K41" s="162">
        <f t="shared" si="16"/>
      </c>
      <c r="L41" s="158">
        <f t="shared" si="7"/>
      </c>
      <c r="M41" s="161">
        <f t="shared" si="8"/>
      </c>
      <c r="N41" s="161">
        <f t="shared" si="9"/>
      </c>
      <c r="O41" s="162">
        <f t="shared" si="1"/>
      </c>
      <c r="P41" s="158">
        <f t="shared" si="10"/>
      </c>
      <c r="Q41" s="161">
        <f t="shared" si="11"/>
      </c>
      <c r="R41" s="161">
        <f t="shared" si="12"/>
      </c>
      <c r="S41" s="162">
        <f t="shared" si="2"/>
      </c>
    </row>
    <row r="42" spans="2:19" ht="15">
      <c r="B42" s="97"/>
      <c r="C42" s="102"/>
      <c r="D42" s="158">
        <f t="shared" si="3"/>
      </c>
      <c r="E42" s="161">
        <f t="shared" si="13"/>
      </c>
      <c r="F42" s="161">
        <f t="shared" si="14"/>
      </c>
      <c r="G42" s="163">
        <f t="shared" si="15"/>
      </c>
      <c r="H42" s="158">
        <f t="shared" si="4"/>
      </c>
      <c r="I42" s="161">
        <f t="shared" si="5"/>
      </c>
      <c r="J42" s="161">
        <f t="shared" si="6"/>
      </c>
      <c r="K42" s="162">
        <f t="shared" si="16"/>
      </c>
      <c r="L42" s="158">
        <f t="shared" si="7"/>
      </c>
      <c r="M42" s="161">
        <f t="shared" si="8"/>
      </c>
      <c r="N42" s="161">
        <f t="shared" si="9"/>
      </c>
      <c r="O42" s="162">
        <f t="shared" si="1"/>
      </c>
      <c r="P42" s="158">
        <f t="shared" si="10"/>
      </c>
      <c r="Q42" s="161">
        <f t="shared" si="11"/>
      </c>
      <c r="R42" s="161">
        <f t="shared" si="12"/>
      </c>
      <c r="S42" s="162">
        <f t="shared" si="2"/>
      </c>
    </row>
    <row r="43" spans="2:19" ht="15">
      <c r="B43" s="97"/>
      <c r="C43" s="101"/>
      <c r="D43" s="158">
        <f t="shared" si="3"/>
      </c>
      <c r="E43" s="161">
        <f t="shared" si="13"/>
      </c>
      <c r="F43" s="161">
        <f t="shared" si="14"/>
      </c>
      <c r="G43" s="163">
        <f t="shared" si="15"/>
      </c>
      <c r="H43" s="158">
        <f t="shared" si="4"/>
      </c>
      <c r="I43" s="161">
        <f t="shared" si="5"/>
      </c>
      <c r="J43" s="161">
        <f t="shared" si="6"/>
      </c>
      <c r="K43" s="162">
        <f t="shared" si="16"/>
      </c>
      <c r="L43" s="158">
        <f t="shared" si="7"/>
      </c>
      <c r="M43" s="161">
        <f t="shared" si="8"/>
      </c>
      <c r="N43" s="161">
        <f t="shared" si="9"/>
      </c>
      <c r="O43" s="162">
        <f t="shared" si="1"/>
      </c>
      <c r="P43" s="158">
        <f t="shared" si="10"/>
      </c>
      <c r="Q43" s="161">
        <f t="shared" si="11"/>
      </c>
      <c r="R43" s="161">
        <f t="shared" si="12"/>
      </c>
      <c r="S43" s="162">
        <f t="shared" si="2"/>
      </c>
    </row>
    <row r="44" spans="2:19" ht="15">
      <c r="B44" s="97"/>
      <c r="C44" s="101"/>
      <c r="D44" s="158">
        <f t="shared" si="3"/>
      </c>
      <c r="E44" s="161">
        <f t="shared" si="13"/>
      </c>
      <c r="F44" s="161">
        <f t="shared" si="14"/>
      </c>
      <c r="G44" s="163">
        <f t="shared" si="15"/>
      </c>
      <c r="H44" s="158">
        <f t="shared" si="4"/>
      </c>
      <c r="I44" s="161">
        <f t="shared" si="5"/>
      </c>
      <c r="J44" s="161">
        <f t="shared" si="6"/>
      </c>
      <c r="K44" s="162">
        <f t="shared" si="16"/>
      </c>
      <c r="L44" s="158">
        <f t="shared" si="7"/>
      </c>
      <c r="M44" s="161">
        <f t="shared" si="8"/>
      </c>
      <c r="N44" s="161">
        <f t="shared" si="9"/>
      </c>
      <c r="O44" s="162">
        <f t="shared" si="1"/>
      </c>
      <c r="P44" s="158">
        <f t="shared" si="10"/>
      </c>
      <c r="Q44" s="161">
        <f t="shared" si="11"/>
      </c>
      <c r="R44" s="161">
        <f t="shared" si="12"/>
      </c>
      <c r="S44" s="162">
        <f t="shared" si="2"/>
      </c>
    </row>
    <row r="45" spans="2:19" ht="15">
      <c r="B45" s="97"/>
      <c r="C45" s="101"/>
      <c r="D45" s="158">
        <f t="shared" si="3"/>
      </c>
      <c r="E45" s="161">
        <f t="shared" si="13"/>
      </c>
      <c r="F45" s="161">
        <f t="shared" si="14"/>
      </c>
      <c r="G45" s="163">
        <f t="shared" si="15"/>
      </c>
      <c r="H45" s="158">
        <f t="shared" si="4"/>
      </c>
      <c r="I45" s="161">
        <f t="shared" si="5"/>
      </c>
      <c r="J45" s="161">
        <f t="shared" si="6"/>
      </c>
      <c r="K45" s="162">
        <f t="shared" si="16"/>
      </c>
      <c r="L45" s="158">
        <f t="shared" si="7"/>
      </c>
      <c r="M45" s="161">
        <f t="shared" si="8"/>
      </c>
      <c r="N45" s="161">
        <f t="shared" si="9"/>
      </c>
      <c r="O45" s="162">
        <f t="shared" si="1"/>
      </c>
      <c r="P45" s="158">
        <f t="shared" si="10"/>
      </c>
      <c r="Q45" s="161">
        <f t="shared" si="11"/>
      </c>
      <c r="R45" s="161">
        <f t="shared" si="12"/>
      </c>
      <c r="S45" s="162">
        <f t="shared" si="2"/>
      </c>
    </row>
    <row r="46" spans="2:19" ht="15">
      <c r="B46" s="97" t="s">
        <v>987</v>
      </c>
      <c r="C46" s="456" t="s">
        <v>668</v>
      </c>
      <c r="D46" s="158">
        <f t="shared" si="3"/>
      </c>
      <c r="E46" s="161">
        <f t="shared" si="13"/>
      </c>
      <c r="F46" s="161">
        <f t="shared" si="14"/>
      </c>
      <c r="G46" s="163">
        <f t="shared" si="15"/>
      </c>
      <c r="H46" s="158">
        <f t="shared" si="4"/>
      </c>
      <c r="I46" s="161">
        <f t="shared" si="5"/>
      </c>
      <c r="J46" s="161">
        <f t="shared" si="6"/>
      </c>
      <c r="K46" s="162">
        <f t="shared" si="16"/>
      </c>
      <c r="L46" s="158">
        <f t="shared" si="7"/>
      </c>
      <c r="M46" s="161">
        <f t="shared" si="8"/>
      </c>
      <c r="N46" s="161">
        <f t="shared" si="9"/>
      </c>
      <c r="O46" s="162">
        <f t="shared" si="1"/>
      </c>
      <c r="P46" s="158">
        <f t="shared" si="10"/>
      </c>
      <c r="Q46" s="161">
        <f t="shared" si="11"/>
      </c>
      <c r="R46" s="161">
        <f t="shared" si="12"/>
      </c>
      <c r="S46" s="162">
        <f t="shared" si="2"/>
      </c>
    </row>
    <row r="47" spans="2:19" ht="15">
      <c r="B47" s="97" t="s">
        <v>991</v>
      </c>
      <c r="C47" s="456" t="s">
        <v>669</v>
      </c>
      <c r="D47" s="158">
        <f t="shared" si="3"/>
      </c>
      <c r="E47" s="161">
        <f t="shared" si="13"/>
      </c>
      <c r="F47" s="161">
        <f t="shared" si="14"/>
      </c>
      <c r="G47" s="163">
        <f t="shared" si="15"/>
      </c>
      <c r="H47" s="158">
        <f t="shared" si="4"/>
      </c>
      <c r="I47" s="161">
        <f t="shared" si="5"/>
      </c>
      <c r="J47" s="161">
        <f t="shared" si="6"/>
      </c>
      <c r="K47" s="162">
        <f t="shared" si="16"/>
      </c>
      <c r="L47" s="158">
        <f t="shared" si="7"/>
      </c>
      <c r="M47" s="161">
        <f t="shared" si="8"/>
      </c>
      <c r="N47" s="161">
        <f t="shared" si="9"/>
      </c>
      <c r="O47" s="162">
        <f t="shared" si="1"/>
      </c>
      <c r="P47" s="158">
        <f t="shared" si="10"/>
      </c>
      <c r="Q47" s="161">
        <f t="shared" si="11"/>
      </c>
      <c r="R47" s="161">
        <f t="shared" si="12"/>
      </c>
      <c r="S47" s="162">
        <f t="shared" si="2"/>
      </c>
    </row>
    <row r="48" spans="2:19" ht="15">
      <c r="B48" s="97" t="s">
        <v>987</v>
      </c>
      <c r="C48" s="98" t="s">
        <v>668</v>
      </c>
      <c r="D48" s="158">
        <f t="shared" si="3"/>
      </c>
      <c r="E48" s="161">
        <f t="shared" si="13"/>
      </c>
      <c r="F48" s="161">
        <f t="shared" si="14"/>
      </c>
      <c r="G48" s="163">
        <f t="shared" si="15"/>
      </c>
      <c r="H48" s="158">
        <f t="shared" si="4"/>
      </c>
      <c r="I48" s="161">
        <f t="shared" si="5"/>
      </c>
      <c r="J48" s="161">
        <f t="shared" si="6"/>
      </c>
      <c r="K48" s="162">
        <f t="shared" si="16"/>
      </c>
      <c r="L48" s="158">
        <f t="shared" si="7"/>
      </c>
      <c r="M48" s="161">
        <f t="shared" si="8"/>
      </c>
      <c r="N48" s="161">
        <f t="shared" si="9"/>
      </c>
      <c r="O48" s="162">
        <f t="shared" si="1"/>
      </c>
      <c r="P48" s="158">
        <f t="shared" si="10"/>
      </c>
      <c r="Q48" s="161">
        <f t="shared" si="11"/>
      </c>
      <c r="R48" s="161">
        <f t="shared" si="12"/>
      </c>
      <c r="S48" s="162">
        <f t="shared" si="2"/>
      </c>
    </row>
    <row r="49" spans="2:19" ht="15">
      <c r="B49" s="97" t="s">
        <v>1001</v>
      </c>
      <c r="C49" s="98" t="s">
        <v>670</v>
      </c>
      <c r="D49" s="158">
        <f t="shared" si="3"/>
      </c>
      <c r="E49" s="161">
        <f t="shared" si="13"/>
      </c>
      <c r="F49" s="161">
        <f t="shared" si="14"/>
      </c>
      <c r="G49" s="163">
        <f t="shared" si="15"/>
      </c>
      <c r="H49" s="158">
        <f t="shared" si="4"/>
      </c>
      <c r="I49" s="161">
        <f t="shared" si="5"/>
      </c>
      <c r="J49" s="161">
        <f t="shared" si="6"/>
      </c>
      <c r="K49" s="162">
        <f t="shared" si="16"/>
      </c>
      <c r="L49" s="158">
        <f t="shared" si="7"/>
      </c>
      <c r="M49" s="161">
        <f t="shared" si="8"/>
      </c>
      <c r="N49" s="161">
        <f t="shared" si="9"/>
      </c>
      <c r="O49" s="162">
        <f t="shared" si="1"/>
      </c>
      <c r="P49" s="158">
        <f t="shared" si="10"/>
      </c>
      <c r="Q49" s="161">
        <f t="shared" si="11"/>
      </c>
      <c r="R49" s="161">
        <f t="shared" si="12"/>
      </c>
      <c r="S49" s="162">
        <f t="shared" si="2"/>
      </c>
    </row>
    <row r="50" spans="2:19" ht="15">
      <c r="B50" s="97"/>
      <c r="C50" s="101"/>
      <c r="D50" s="158">
        <f t="shared" si="3"/>
      </c>
      <c r="E50" s="161">
        <f t="shared" si="13"/>
      </c>
      <c r="F50" s="161">
        <f t="shared" si="14"/>
      </c>
      <c r="G50" s="163">
        <f t="shared" si="15"/>
      </c>
      <c r="H50" s="158">
        <f t="shared" si="4"/>
      </c>
      <c r="I50" s="161">
        <f t="shared" si="5"/>
      </c>
      <c r="J50" s="161">
        <f t="shared" si="6"/>
      </c>
      <c r="K50" s="162">
        <f t="shared" si="16"/>
      </c>
      <c r="L50" s="158">
        <f t="shared" si="7"/>
      </c>
      <c r="M50" s="161">
        <f t="shared" si="8"/>
      </c>
      <c r="N50" s="161">
        <f t="shared" si="9"/>
      </c>
      <c r="O50" s="162">
        <f t="shared" si="1"/>
      </c>
      <c r="P50" s="158">
        <f t="shared" si="10"/>
      </c>
      <c r="Q50" s="161">
        <f t="shared" si="11"/>
      </c>
      <c r="R50" s="161">
        <f t="shared" si="12"/>
      </c>
      <c r="S50" s="162">
        <f t="shared" si="2"/>
      </c>
    </row>
    <row r="51" spans="2:19" ht="15">
      <c r="B51" s="97"/>
      <c r="C51" s="101"/>
      <c r="D51" s="158">
        <f t="shared" si="3"/>
      </c>
      <c r="E51" s="161">
        <f t="shared" si="13"/>
      </c>
      <c r="F51" s="161">
        <f t="shared" si="14"/>
      </c>
      <c r="G51" s="163">
        <f t="shared" si="15"/>
      </c>
      <c r="H51" s="158">
        <f t="shared" si="4"/>
      </c>
      <c r="I51" s="161">
        <f t="shared" si="5"/>
      </c>
      <c r="J51" s="161">
        <f t="shared" si="6"/>
      </c>
      <c r="K51" s="162">
        <f t="shared" si="16"/>
      </c>
      <c r="L51" s="158">
        <f t="shared" si="7"/>
      </c>
      <c r="M51" s="161">
        <f t="shared" si="8"/>
      </c>
      <c r="N51" s="161">
        <f t="shared" si="9"/>
      </c>
      <c r="O51" s="162">
        <f t="shared" si="1"/>
      </c>
      <c r="P51" s="158">
        <f t="shared" si="10"/>
      </c>
      <c r="Q51" s="161">
        <f t="shared" si="11"/>
      </c>
      <c r="R51" s="161">
        <f t="shared" si="12"/>
      </c>
      <c r="S51" s="162">
        <f t="shared" si="2"/>
      </c>
    </row>
    <row r="52" spans="2:19" ht="15">
      <c r="B52" s="97"/>
      <c r="C52" s="449"/>
      <c r="D52" s="158">
        <f t="shared" si="3"/>
      </c>
      <c r="E52" s="161">
        <f t="shared" si="13"/>
      </c>
      <c r="F52" s="161">
        <f t="shared" si="14"/>
      </c>
      <c r="G52" s="163">
        <f t="shared" si="15"/>
      </c>
      <c r="H52" s="158">
        <f t="shared" si="4"/>
      </c>
      <c r="I52" s="161">
        <f t="shared" si="5"/>
      </c>
      <c r="J52" s="161">
        <f t="shared" si="6"/>
      </c>
      <c r="K52" s="162">
        <f t="shared" si="16"/>
      </c>
      <c r="L52" s="158">
        <f t="shared" si="7"/>
      </c>
      <c r="M52" s="161">
        <f t="shared" si="8"/>
      </c>
      <c r="N52" s="161">
        <f t="shared" si="9"/>
      </c>
      <c r="O52" s="162">
        <f t="shared" si="1"/>
      </c>
      <c r="P52" s="158">
        <f t="shared" si="10"/>
      </c>
      <c r="Q52" s="161">
        <f t="shared" si="11"/>
      </c>
      <c r="R52" s="161">
        <f t="shared" si="12"/>
      </c>
      <c r="S52" s="162">
        <f t="shared" si="2"/>
      </c>
    </row>
    <row r="53" spans="2:19" ht="15.75" thickBot="1">
      <c r="B53" s="103"/>
      <c r="C53" s="457"/>
      <c r="D53" s="164">
        <f t="shared" si="3"/>
      </c>
      <c r="E53" s="165">
        <f t="shared" si="13"/>
      </c>
      <c r="F53" s="165">
        <f t="shared" si="14"/>
      </c>
      <c r="G53" s="166">
        <f>IF(D53="","",G52+$G$4)</f>
      </c>
      <c r="H53" s="164">
        <f t="shared" si="4"/>
      </c>
      <c r="I53" s="165">
        <f t="shared" si="5"/>
      </c>
      <c r="J53" s="165">
        <f t="shared" si="6"/>
      </c>
      <c r="K53" s="167">
        <f>IF(H53="","",K52+$G$4)</f>
      </c>
      <c r="L53" s="164">
        <f t="shared" si="7"/>
      </c>
      <c r="M53" s="165">
        <f t="shared" si="8"/>
      </c>
      <c r="N53" s="165">
        <f t="shared" si="9"/>
      </c>
      <c r="O53" s="167">
        <f>IF(L53="","",O52+$G$4)</f>
      </c>
      <c r="P53" s="164">
        <f t="shared" si="10"/>
      </c>
      <c r="Q53" s="165">
        <f t="shared" si="11"/>
      </c>
      <c r="R53" s="165">
        <f t="shared" si="12"/>
      </c>
      <c r="S53" s="167">
        <f>IF(P53="","",S52+$G$4)</f>
      </c>
    </row>
  </sheetData>
  <sheetProtection sheet="1" objects="1" scenarios="1"/>
  <conditionalFormatting sqref="C12">
    <cfRule type="expression" priority="1" dxfId="1" stopIfTrue="1">
      <formula>$C$13&lt;&gt;""</formula>
    </cfRule>
  </conditionalFormatting>
  <conditionalFormatting sqref="C13">
    <cfRule type="expression" priority="2" dxfId="1" stopIfTrue="1">
      <formula>$C$12&lt;&gt;""</formula>
    </cfRule>
  </conditionalFormatting>
  <conditionalFormatting sqref="C53">
    <cfRule type="expression" priority="3" dxfId="0" stopIfTrue="1">
      <formula>$C$13&gt;""</formula>
    </cfRule>
  </conditionalFormatting>
  <dataValidations count="2">
    <dataValidation type="custom" allowBlank="1" showInputMessage="1" showErrorMessage="1" errorTitle="Warning!!" error="The contents in the cell above must be empty before information can be entered in this cell." sqref="C13">
      <formula1>IF(C12&lt;&gt;"","",)</formula1>
    </dataValidation>
    <dataValidation type="custom" allowBlank="1" showInputMessage="1" showErrorMessage="1" errorTitle="Warning!!" error="The contents in the cell below must be empty before information can be entered in this cell." sqref="C12">
      <formula1>IF(C13&lt;&gt;"","",)</formula1>
    </dataValidation>
  </dataValidations>
  <printOptions horizontalCentered="1" verticalCentered="1"/>
  <pageMargins left="0.5" right="0.5" top="0.3" bottom="0.3" header="0.25" footer="0.25"/>
  <pageSetup blackAndWhite="1" fitToHeight="1" fitToWidth="1" horizontalDpi="180" verticalDpi="180" orientation="landscape" pageOrder="overThenDown" scale="68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tabColor indexed="11"/>
    <pageSetUpPr fitToPage="1"/>
  </sheetPr>
  <dimension ref="B1:J25"/>
  <sheetViews>
    <sheetView showGridLines="0" showRowColHeaders="0" zoomScale="75" zoomScaleNormal="75" zoomScalePageLayoutView="0" workbookViewId="0" topLeftCell="A1">
      <selection activeCell="E4" sqref="E4"/>
    </sheetView>
  </sheetViews>
  <sheetFormatPr defaultColWidth="9.77734375" defaultRowHeight="15"/>
  <cols>
    <col min="1" max="1" width="2.77734375" style="0" customWidth="1"/>
    <col min="2" max="2" width="16.77734375" style="0" customWidth="1"/>
    <col min="3" max="3" width="4.77734375" style="0" customWidth="1"/>
    <col min="4" max="4" width="9.77734375" style="0" customWidth="1"/>
    <col min="5" max="5" width="10.77734375" style="0" customWidth="1"/>
    <col min="6" max="6" width="8.3359375" style="0" customWidth="1"/>
    <col min="7" max="7" width="9.77734375" style="0" customWidth="1"/>
    <col min="8" max="8" width="5.3359375" style="0" customWidth="1"/>
    <col min="9" max="10" width="10.77734375" style="0" customWidth="1"/>
    <col min="11" max="16384" width="8.88671875" customWidth="1"/>
  </cols>
  <sheetData>
    <row r="1" spans="2:10" ht="24" thickTop="1">
      <c r="B1" s="7" t="s">
        <v>972</v>
      </c>
      <c r="C1" s="25"/>
      <c r="D1" s="25"/>
      <c r="E1" s="25"/>
      <c r="F1" s="25"/>
      <c r="G1" s="25"/>
      <c r="H1" s="25"/>
      <c r="I1" s="25"/>
      <c r="J1" s="26"/>
    </row>
    <row r="2" spans="2:10" ht="15.75">
      <c r="B2" s="10" t="s">
        <v>973</v>
      </c>
      <c r="C2" s="12"/>
      <c r="D2" s="11"/>
      <c r="E2" s="11"/>
      <c r="F2" s="11"/>
      <c r="G2" s="11"/>
      <c r="H2" s="11"/>
      <c r="I2" s="11"/>
      <c r="J2" s="13"/>
    </row>
    <row r="3" spans="2:10" ht="9.75" customHeight="1">
      <c r="B3" s="49"/>
      <c r="C3" s="11"/>
      <c r="D3" s="11"/>
      <c r="E3" s="11"/>
      <c r="F3" s="11"/>
      <c r="G3" s="11"/>
      <c r="H3" s="11"/>
      <c r="I3" s="11"/>
      <c r="J3" s="13"/>
    </row>
    <row r="4" spans="2:10" ht="15">
      <c r="B4" s="29"/>
      <c r="C4" s="18"/>
      <c r="D4" s="38" t="s">
        <v>974</v>
      </c>
      <c r="E4" s="2"/>
      <c r="F4" s="18"/>
      <c r="G4" s="150" t="s">
        <v>90</v>
      </c>
      <c r="H4" s="150" t="s">
        <v>975</v>
      </c>
      <c r="I4" s="150" t="s">
        <v>976</v>
      </c>
      <c r="J4" s="151" t="s">
        <v>977</v>
      </c>
    </row>
    <row r="5" spans="2:10" ht="15">
      <c r="B5" s="29"/>
      <c r="C5" s="18"/>
      <c r="D5" s="38" t="s">
        <v>978</v>
      </c>
      <c r="E5" s="2"/>
      <c r="F5" s="18"/>
      <c r="G5" s="50">
        <f>IF(H5="","",$E$6*H5)</f>
      </c>
      <c r="H5" s="50">
        <f>IF(E6="","",1)</f>
      </c>
      <c r="I5" s="80">
        <f aca="true" t="shared" si="0" ref="I5:I19">IF(H5="","",((COS(($E$6*H5)/180*PI())*$E$4)+(SIN(($E$6*H5)/180*PI())*$E$5))+$E$8)</f>
      </c>
      <c r="J5" s="153">
        <f aca="true" t="shared" si="1" ref="J5:J19">IF(H5="","",((COS(($E$6*H5)/180*PI())*$E$5)-(SIN(($E$6*H5)/180*PI())*$E$4))+$E$9)</f>
      </c>
    </row>
    <row r="6" spans="2:10" ht="15">
      <c r="B6" s="29"/>
      <c r="C6" s="18"/>
      <c r="D6" s="38" t="s">
        <v>979</v>
      </c>
      <c r="E6" s="3"/>
      <c r="F6" s="50"/>
      <c r="G6" s="50">
        <f aca="true" t="shared" si="2" ref="G6:G19">IF(H6="","",$E$6*H6)</f>
      </c>
      <c r="H6" s="152">
        <f aca="true" t="shared" si="3" ref="H6:H19">IF(H5=ABS($E$7),"",IF(H5="","",H5+1))</f>
      </c>
      <c r="I6" s="80">
        <f t="shared" si="0"/>
      </c>
      <c r="J6" s="153">
        <f t="shared" si="1"/>
      </c>
    </row>
    <row r="7" spans="2:10" ht="15">
      <c r="B7" s="29"/>
      <c r="C7" s="18"/>
      <c r="D7" s="38" t="s">
        <v>980</v>
      </c>
      <c r="E7" s="3">
        <v>1</v>
      </c>
      <c r="F7" s="50" t="s">
        <v>981</v>
      </c>
      <c r="G7" s="50">
        <f t="shared" si="2"/>
      </c>
      <c r="H7" s="152">
        <f t="shared" si="3"/>
      </c>
      <c r="I7" s="80">
        <f t="shared" si="0"/>
      </c>
      <c r="J7" s="153">
        <f t="shared" si="1"/>
      </c>
    </row>
    <row r="8" spans="2:10" ht="15">
      <c r="B8" s="29"/>
      <c r="C8" s="18"/>
      <c r="D8" s="38" t="s">
        <v>982</v>
      </c>
      <c r="E8" s="2">
        <v>0</v>
      </c>
      <c r="F8" s="18"/>
      <c r="G8" s="50">
        <f t="shared" si="2"/>
      </c>
      <c r="H8" s="152">
        <f t="shared" si="3"/>
      </c>
      <c r="I8" s="80">
        <f t="shared" si="0"/>
      </c>
      <c r="J8" s="153">
        <f t="shared" si="1"/>
      </c>
    </row>
    <row r="9" spans="2:10" ht="15">
      <c r="B9" s="29"/>
      <c r="C9" s="18"/>
      <c r="D9" s="38" t="s">
        <v>983</v>
      </c>
      <c r="E9" s="2">
        <v>0</v>
      </c>
      <c r="F9" s="18"/>
      <c r="G9" s="50">
        <f t="shared" si="2"/>
      </c>
      <c r="H9" s="152">
        <f t="shared" si="3"/>
      </c>
      <c r="I9" s="80">
        <f t="shared" si="0"/>
      </c>
      <c r="J9" s="153">
        <f t="shared" si="1"/>
      </c>
    </row>
    <row r="10" spans="2:10" ht="13.5" customHeight="1">
      <c r="B10" s="29"/>
      <c r="C10" s="18"/>
      <c r="D10" s="11" t="s">
        <v>984</v>
      </c>
      <c r="E10" s="11"/>
      <c r="F10" s="18"/>
      <c r="G10" s="50">
        <f t="shared" si="2"/>
      </c>
      <c r="H10" s="152">
        <f t="shared" si="3"/>
      </c>
      <c r="I10" s="80">
        <f t="shared" si="0"/>
      </c>
      <c r="J10" s="153">
        <f t="shared" si="1"/>
      </c>
    </row>
    <row r="11" spans="2:10" ht="15">
      <c r="B11" s="29"/>
      <c r="C11" s="18"/>
      <c r="D11" s="18"/>
      <c r="E11" s="18"/>
      <c r="F11" s="18"/>
      <c r="G11" s="50">
        <f t="shared" si="2"/>
      </c>
      <c r="H11" s="152">
        <f t="shared" si="3"/>
      </c>
      <c r="I11" s="80">
        <f t="shared" si="0"/>
      </c>
      <c r="J11" s="153">
        <f t="shared" si="1"/>
      </c>
    </row>
    <row r="12" spans="2:10" ht="15">
      <c r="B12" s="154" t="s">
        <v>985</v>
      </c>
      <c r="C12" s="18"/>
      <c r="D12" s="18"/>
      <c r="E12" s="18"/>
      <c r="F12" s="18"/>
      <c r="G12" s="50">
        <f t="shared" si="2"/>
      </c>
      <c r="H12" s="152">
        <f t="shared" si="3"/>
      </c>
      <c r="I12" s="80">
        <f t="shared" si="0"/>
      </c>
      <c r="J12" s="153">
        <f t="shared" si="1"/>
      </c>
    </row>
    <row r="13" spans="2:10" ht="15">
      <c r="B13" s="155" t="s">
        <v>986</v>
      </c>
      <c r="C13" s="18"/>
      <c r="D13" s="38" t="s">
        <v>987</v>
      </c>
      <c r="E13" s="15" t="s">
        <v>988</v>
      </c>
      <c r="F13" s="18"/>
      <c r="G13" s="50">
        <f t="shared" si="2"/>
      </c>
      <c r="H13" s="152">
        <f t="shared" si="3"/>
      </c>
      <c r="I13" s="80">
        <f t="shared" si="0"/>
      </c>
      <c r="J13" s="153">
        <f t="shared" si="1"/>
      </c>
    </row>
    <row r="14" spans="2:10" ht="15">
      <c r="B14" s="155" t="s">
        <v>989</v>
      </c>
      <c r="C14" s="38" t="s">
        <v>990</v>
      </c>
      <c r="D14" s="38" t="s">
        <v>991</v>
      </c>
      <c r="E14" s="15" t="s">
        <v>992</v>
      </c>
      <c r="F14" s="18" t="s">
        <v>993</v>
      </c>
      <c r="G14" s="50">
        <f t="shared" si="2"/>
      </c>
      <c r="H14" s="152">
        <f t="shared" si="3"/>
      </c>
      <c r="I14" s="80">
        <f t="shared" si="0"/>
      </c>
      <c r="J14" s="153">
        <f t="shared" si="1"/>
      </c>
    </row>
    <row r="15" spans="2:10" ht="15">
      <c r="B15" s="155" t="s">
        <v>994</v>
      </c>
      <c r="C15" s="38" t="s">
        <v>995</v>
      </c>
      <c r="D15" s="18"/>
      <c r="E15" s="18"/>
      <c r="F15" s="18" t="s">
        <v>996</v>
      </c>
      <c r="G15" s="50">
        <f t="shared" si="2"/>
      </c>
      <c r="H15" s="152">
        <f t="shared" si="3"/>
      </c>
      <c r="I15" s="80">
        <f t="shared" si="0"/>
      </c>
      <c r="J15" s="153">
        <f t="shared" si="1"/>
      </c>
    </row>
    <row r="16" spans="2:10" ht="15">
      <c r="B16" s="155" t="s">
        <v>997</v>
      </c>
      <c r="C16" s="38" t="s">
        <v>998</v>
      </c>
      <c r="D16" s="38" t="s">
        <v>987</v>
      </c>
      <c r="E16" s="15" t="s">
        <v>988</v>
      </c>
      <c r="F16" s="15" t="s">
        <v>999</v>
      </c>
      <c r="G16" s="50">
        <f t="shared" si="2"/>
      </c>
      <c r="H16" s="152">
        <f t="shared" si="3"/>
      </c>
      <c r="I16" s="80">
        <f t="shared" si="0"/>
      </c>
      <c r="J16" s="153">
        <f t="shared" si="1"/>
      </c>
    </row>
    <row r="17" spans="2:10" ht="15">
      <c r="B17" s="155" t="s">
        <v>1000</v>
      </c>
      <c r="C17" s="150"/>
      <c r="D17" s="38" t="s">
        <v>1001</v>
      </c>
      <c r="E17" s="15" t="s">
        <v>1002</v>
      </c>
      <c r="F17" s="127"/>
      <c r="G17" s="50">
        <f t="shared" si="2"/>
      </c>
      <c r="H17" s="152">
        <f t="shared" si="3"/>
      </c>
      <c r="I17" s="80">
        <f t="shared" si="0"/>
      </c>
      <c r="J17" s="153">
        <f t="shared" si="1"/>
      </c>
    </row>
    <row r="18" spans="2:10" ht="15">
      <c r="B18" s="155" t="s">
        <v>1003</v>
      </c>
      <c r="C18" s="18"/>
      <c r="D18" s="18"/>
      <c r="E18" s="18"/>
      <c r="F18" s="18"/>
      <c r="G18" s="50">
        <f t="shared" si="2"/>
      </c>
      <c r="H18" s="152">
        <f t="shared" si="3"/>
      </c>
      <c r="I18" s="80">
        <f t="shared" si="0"/>
      </c>
      <c r="J18" s="153">
        <f t="shared" si="1"/>
      </c>
    </row>
    <row r="19" spans="2:10" ht="15">
      <c r="B19" s="155" t="s">
        <v>1004</v>
      </c>
      <c r="C19" s="18"/>
      <c r="D19" s="18"/>
      <c r="E19" s="18"/>
      <c r="F19" s="18"/>
      <c r="G19" s="50">
        <f t="shared" si="2"/>
      </c>
      <c r="H19" s="152">
        <f t="shared" si="3"/>
      </c>
      <c r="I19" s="80">
        <f t="shared" si="0"/>
      </c>
      <c r="J19" s="153">
        <f t="shared" si="1"/>
      </c>
    </row>
    <row r="20" spans="2:10" ht="15">
      <c r="B20" s="155" t="s">
        <v>1005</v>
      </c>
      <c r="C20" s="18"/>
      <c r="D20" s="11" t="s">
        <v>984</v>
      </c>
      <c r="E20" s="11"/>
      <c r="F20" s="18"/>
      <c r="G20" s="15">
        <f>IF(E7&gt;15,"15 is the maximum times rotated.","")</f>
      </c>
      <c r="H20" s="18"/>
      <c r="I20" s="18"/>
      <c r="J20" s="19"/>
    </row>
    <row r="21" spans="2:10" ht="15.75" thickBot="1">
      <c r="B21" s="30"/>
      <c r="C21" s="21"/>
      <c r="D21" s="21"/>
      <c r="E21" s="21"/>
      <c r="F21" s="21"/>
      <c r="G21" s="21"/>
      <c r="H21" s="21"/>
      <c r="I21" s="21"/>
      <c r="J21" s="24"/>
    </row>
    <row r="22" ht="15.75" thickTop="1"/>
    <row r="25" ht="15">
      <c r="G25" s="1"/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180" verticalDpi="180" orientation="landscape" pageOrder="overThenDown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K26"/>
  <sheetViews>
    <sheetView showGridLines="0" showRowColHeaders="0" zoomScale="75" zoomScaleNormal="75" zoomScalePageLayoutView="0" workbookViewId="0" topLeftCell="A1">
      <selection activeCell="B7" sqref="B7"/>
    </sheetView>
  </sheetViews>
  <sheetFormatPr defaultColWidth="8.88671875" defaultRowHeight="15"/>
  <cols>
    <col min="1" max="1" width="17.99609375" style="268" customWidth="1"/>
    <col min="2" max="2" width="7.5546875" style="268" customWidth="1"/>
    <col min="3" max="3" width="1.33203125" style="268" customWidth="1"/>
    <col min="4" max="11" width="7.5546875" style="268" customWidth="1"/>
    <col min="12" max="16384" width="8.88671875" style="268" customWidth="1"/>
  </cols>
  <sheetData>
    <row r="1" spans="1:11" ht="23.25">
      <c r="A1" s="265" t="s">
        <v>1006</v>
      </c>
      <c r="B1" s="266"/>
      <c r="C1" s="266"/>
      <c r="D1" s="266"/>
      <c r="E1" s="266"/>
      <c r="F1" s="266"/>
      <c r="G1" s="266"/>
      <c r="H1" s="266"/>
      <c r="I1" s="266"/>
      <c r="J1" s="266"/>
      <c r="K1" s="267"/>
    </row>
    <row r="2" spans="1:11" ht="15">
      <c r="A2" s="269" t="s">
        <v>1007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</row>
    <row r="3" spans="1:11" ht="15">
      <c r="A3" s="269" t="s">
        <v>1008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12.75">
      <c r="A4" s="272"/>
      <c r="B4" s="273"/>
      <c r="C4" s="273"/>
      <c r="D4" s="274"/>
      <c r="E4" s="274"/>
      <c r="F4" s="273"/>
      <c r="G4" s="274"/>
      <c r="H4" s="273"/>
      <c r="I4" s="274"/>
      <c r="J4" s="274"/>
      <c r="K4" s="275"/>
    </row>
    <row r="5" spans="1:11" ht="12.75">
      <c r="A5" s="272"/>
      <c r="B5" s="273"/>
      <c r="C5" s="273"/>
      <c r="D5" s="276" t="s">
        <v>1009</v>
      </c>
      <c r="E5" s="277" t="s">
        <v>1010</v>
      </c>
      <c r="F5" s="276" t="s">
        <v>1011</v>
      </c>
      <c r="G5" s="277" t="s">
        <v>1011</v>
      </c>
      <c r="H5" s="278" t="s">
        <v>1009</v>
      </c>
      <c r="I5" s="277" t="s">
        <v>1010</v>
      </c>
      <c r="J5" s="276" t="s">
        <v>1012</v>
      </c>
      <c r="K5" s="279" t="s">
        <v>1012</v>
      </c>
    </row>
    <row r="6" spans="1:11" ht="12.75">
      <c r="A6" s="272"/>
      <c r="B6" s="273"/>
      <c r="C6" s="273"/>
      <c r="D6" s="280" t="s">
        <v>1013</v>
      </c>
      <c r="E6" s="281" t="s">
        <v>1013</v>
      </c>
      <c r="F6" s="280" t="s">
        <v>1014</v>
      </c>
      <c r="G6" s="281" t="s">
        <v>1015</v>
      </c>
      <c r="H6" s="282" t="s">
        <v>128</v>
      </c>
      <c r="I6" s="281" t="s">
        <v>128</v>
      </c>
      <c r="J6" s="292" t="s">
        <v>1016</v>
      </c>
      <c r="K6" s="283" t="s">
        <v>1014</v>
      </c>
    </row>
    <row r="7" spans="1:11" ht="15">
      <c r="A7" s="284" t="s">
        <v>1017</v>
      </c>
      <c r="B7" s="285"/>
      <c r="C7" s="273"/>
      <c r="D7" s="276"/>
      <c r="E7" s="277"/>
      <c r="F7" s="276"/>
      <c r="G7" s="277"/>
      <c r="H7" s="278"/>
      <c r="I7" s="277"/>
      <c r="J7" s="276"/>
      <c r="K7" s="279"/>
    </row>
    <row r="8" spans="1:11" ht="15">
      <c r="A8" s="284" t="s">
        <v>1018</v>
      </c>
      <c r="B8" s="285"/>
      <c r="C8" s="273"/>
      <c r="D8" s="276">
        <f>IF(OR(B7="",B9=""),"",B7/2*(1/(COS(B9/180*PI()))))</f>
      </c>
      <c r="E8" s="277">
        <f>IF(OR(B8="",B9=""),"",B8/2*(1/(COS(B9/180*PI()))))</f>
      </c>
      <c r="F8" s="276">
        <f>IF(OR(B7="",D8=""),"",(((57.296*(B7*PI()))/D8)*(B12/360))+B13)</f>
      </c>
      <c r="G8" s="277">
        <f>IF(OR(B7="",B8="",B9=""),"",(B8-B7)/2/COS((B9)/180*PI()))</f>
      </c>
      <c r="H8" s="278">
        <f>IF(OR(B8="",B9="",B11=""),"",B8-(2*(B11*COS((B9)/180*PI()))))</f>
      </c>
      <c r="I8" s="277">
        <f>IF(OR(B9="",B11="",B7=""),"",(2*(B11*COS((B9)/180*PI())))+B7)</f>
      </c>
      <c r="J8" s="276">
        <f>IF(OR(G8="",B9=""),"",(G8*SIN((B9)/180*PI())))</f>
      </c>
      <c r="K8" s="279">
        <f>IF(OR(G9="",B10=""),"",ASIN(SUM(B10/G9))*180/PI())</f>
      </c>
    </row>
    <row r="9" spans="1:11" ht="15">
      <c r="A9" s="284" t="s">
        <v>1019</v>
      </c>
      <c r="B9" s="285"/>
      <c r="C9" s="274"/>
      <c r="D9" s="276">
        <f>IF(OR(B7="",K8=""),"",B7/2*(1/(COS(K8/180*PI()))))</f>
      </c>
      <c r="E9" s="277">
        <f>IF(OR(B8="",K8=""),"",B8/2*(1/(COS(K8/180*PI()))))</f>
      </c>
      <c r="F9" s="276">
        <f>IF(OR(B7="",D9=""),"",(((57.296*(B7*PI()))/D9)*(B12/360))+B13)</f>
      </c>
      <c r="G9" s="277">
        <f>IF(OR(B7="",B8="",B10=""),"",(SQRT(((B8-B7)/2)*((B8-B7)/2)+(B10*B10))))</f>
      </c>
      <c r="H9" s="278">
        <f>IF(OR(B8="",K9="",B11=""),"",B8-(2*(B11*COS((K9)/180*PI()))))</f>
      </c>
      <c r="I9" s="277">
        <f>IF(OR(B9="",G10="",B7=""),"",(2*(G10*COS((B9)/180*PI())))+B7)</f>
      </c>
      <c r="J9" s="276">
        <f>IF(OR(B11="",B9=""),"",(B11*SIN((B9)/180*PI())))</f>
      </c>
      <c r="K9" s="279">
        <f>IF(OR(B10="",B11=""),"",ASIN(SUM(B10/B11))*180/PI())</f>
      </c>
    </row>
    <row r="10" spans="1:11" ht="15">
      <c r="A10" s="293" t="s">
        <v>1020</v>
      </c>
      <c r="B10" s="285"/>
      <c r="C10" s="273"/>
      <c r="D10" s="276">
        <f>IF(OR(E8="",G10=""),"",E8-G10)</f>
      </c>
      <c r="E10" s="277">
        <f>IF(OR(D8="",G10=""),"",D8+G10)</f>
      </c>
      <c r="F10" s="276">
        <f>IF(OR(B7="",D12=""),"",(((57.296*(B7*PI()))/D12)*(B12/360))+B13)</f>
      </c>
      <c r="G10" s="277">
        <f>IF(OR(B9="",B10=""),"",SUM(B10/SIN((B9)/180*PI())))</f>
      </c>
      <c r="H10" s="278">
        <f>IF(OR(B8="",B9="",G10=""),"",B8-(2*(G10*COS((B9)/180*PI()))))</f>
      </c>
      <c r="I10" s="277">
        <f>IF(OR(K9="",B11="",B7=""),"",(2*(B11*COS((K9)/180*PI())))+B7)</f>
      </c>
      <c r="J10" s="276"/>
      <c r="K10" s="286"/>
    </row>
    <row r="11" spans="1:11" ht="15">
      <c r="A11" s="284" t="s">
        <v>1021</v>
      </c>
      <c r="B11" s="285"/>
      <c r="C11" s="273"/>
      <c r="D11" s="276">
        <f>IF(OR(E11="",B11=""),"",E11-B11)</f>
      </c>
      <c r="E11" s="277">
        <f>IF(OR(B8="",K9=""),"",B8/2*(1/(COS(K9/180*PI()))))</f>
      </c>
      <c r="F11" s="276">
        <f>IF(OR(H9="",D11=""),"",(((57.296*(H9*PI()))/D11)*(B12/360))+B13)</f>
      </c>
      <c r="G11" s="277"/>
      <c r="H11" s="287"/>
      <c r="I11" s="277"/>
      <c r="J11" s="276"/>
      <c r="K11" s="286"/>
    </row>
    <row r="12" spans="1:11" ht="15">
      <c r="A12" s="284" t="s">
        <v>1022</v>
      </c>
      <c r="B12" s="285">
        <v>360</v>
      </c>
      <c r="C12" s="273"/>
      <c r="D12" s="276">
        <f>IF(OR(B7="",K9=""),"",B7/2*(1/(COS(K9/180*PI()))))</f>
      </c>
      <c r="E12" s="277">
        <f>IF(OR(I10="",K9=""),"",I10/2*(1/(COS(K9/180*PI()))))</f>
      </c>
      <c r="F12" s="276">
        <f>IF(OR(H10="",D10=""),"",(((57.296*(H10*PI()))/D10)*(B12/360))+B13)</f>
      </c>
      <c r="G12" s="277"/>
      <c r="H12" s="278"/>
      <c r="I12" s="277"/>
      <c r="J12" s="276"/>
      <c r="K12" s="286"/>
    </row>
    <row r="13" spans="1:11" ht="15">
      <c r="A13" s="284" t="s">
        <v>1023</v>
      </c>
      <c r="B13" s="285">
        <v>0</v>
      </c>
      <c r="C13" s="273"/>
      <c r="D13" s="276">
        <f>IF(OR(H8="",B9=""),"",H8/2*(1/(COS(B9/180*PI()))))</f>
      </c>
      <c r="E13" s="277">
        <f>IF(OR(I8="",B9=""),"",I8/2*(1/(COS(B9/180*PI()))))</f>
      </c>
      <c r="F13" s="276">
        <f>IF(OR(H8="",D13=""),"",(((57.296*(H8*PI()))/D13)*(B12/360))+B13)</f>
      </c>
      <c r="G13" s="277"/>
      <c r="H13" s="278"/>
      <c r="I13" s="277"/>
      <c r="J13" s="276"/>
      <c r="K13" s="286"/>
    </row>
    <row r="14" spans="1:11" ht="12.75">
      <c r="A14" s="272"/>
      <c r="B14" s="274"/>
      <c r="C14" s="274"/>
      <c r="D14" s="273"/>
      <c r="E14" s="273"/>
      <c r="F14" s="273"/>
      <c r="G14" s="273"/>
      <c r="H14" s="273"/>
      <c r="I14" s="273"/>
      <c r="J14" s="273"/>
      <c r="K14" s="275"/>
    </row>
    <row r="15" spans="1:11" ht="12.75">
      <c r="A15" s="272"/>
      <c r="B15" s="274"/>
      <c r="C15" s="274"/>
      <c r="D15" s="274"/>
      <c r="E15" s="270"/>
      <c r="F15" s="270"/>
      <c r="G15" s="274"/>
      <c r="H15" s="274"/>
      <c r="I15" s="274"/>
      <c r="J15" s="270"/>
      <c r="K15" s="271"/>
    </row>
    <row r="16" spans="1:11" ht="12.75">
      <c r="A16" s="272"/>
      <c r="B16" s="274"/>
      <c r="C16" s="274"/>
      <c r="D16" s="274"/>
      <c r="E16" s="274"/>
      <c r="F16" s="274"/>
      <c r="G16" s="274"/>
      <c r="H16" s="274"/>
      <c r="I16" s="274"/>
      <c r="J16" s="274"/>
      <c r="K16" s="275"/>
    </row>
    <row r="17" spans="1:11" ht="12.75">
      <c r="A17" s="272"/>
      <c r="B17" s="274"/>
      <c r="C17" s="274"/>
      <c r="D17" s="274"/>
      <c r="E17" s="288"/>
      <c r="F17" s="274"/>
      <c r="G17" s="274"/>
      <c r="H17" s="274"/>
      <c r="I17" s="274"/>
      <c r="J17" s="274"/>
      <c r="K17" s="275"/>
    </row>
    <row r="18" spans="1:11" ht="12.75">
      <c r="A18" s="284"/>
      <c r="B18" s="274"/>
      <c r="C18" s="274"/>
      <c r="D18" s="274"/>
      <c r="E18" s="274"/>
      <c r="F18" s="274"/>
      <c r="G18" s="274"/>
      <c r="H18" s="274"/>
      <c r="I18" s="274"/>
      <c r="J18" s="274"/>
      <c r="K18" s="275"/>
    </row>
    <row r="19" spans="1:11" ht="12.75">
      <c r="A19" s="284"/>
      <c r="B19" s="274"/>
      <c r="C19" s="274"/>
      <c r="D19" s="274"/>
      <c r="E19" s="274"/>
      <c r="F19" s="274"/>
      <c r="G19" s="274"/>
      <c r="H19" s="274"/>
      <c r="I19" s="274"/>
      <c r="J19" s="274"/>
      <c r="K19" s="275"/>
    </row>
    <row r="20" spans="1:11" ht="12.75">
      <c r="A20" s="284"/>
      <c r="B20" s="274"/>
      <c r="C20" s="274"/>
      <c r="D20" s="274"/>
      <c r="E20" s="274"/>
      <c r="F20" s="274"/>
      <c r="G20" s="274"/>
      <c r="H20" s="274"/>
      <c r="I20" s="274"/>
      <c r="J20" s="274"/>
      <c r="K20" s="275"/>
    </row>
    <row r="21" spans="1:11" ht="12.75">
      <c r="A21" s="284"/>
      <c r="B21" s="274"/>
      <c r="C21" s="274"/>
      <c r="D21" s="274"/>
      <c r="E21" s="274"/>
      <c r="F21" s="274"/>
      <c r="G21" s="274"/>
      <c r="H21" s="274"/>
      <c r="I21" s="274"/>
      <c r="J21" s="270"/>
      <c r="K21" s="271"/>
    </row>
    <row r="22" spans="1:11" ht="12.75">
      <c r="A22" s="272"/>
      <c r="B22" s="274"/>
      <c r="C22" s="274"/>
      <c r="D22" s="274"/>
      <c r="E22" s="274"/>
      <c r="F22" s="274"/>
      <c r="G22" s="274"/>
      <c r="H22" s="274"/>
      <c r="I22" s="274"/>
      <c r="J22" s="274"/>
      <c r="K22" s="275"/>
    </row>
    <row r="23" spans="1:11" ht="12.75">
      <c r="A23" s="272"/>
      <c r="B23" s="274"/>
      <c r="C23" s="274"/>
      <c r="D23" s="274"/>
      <c r="E23" s="274"/>
      <c r="F23" s="274"/>
      <c r="G23" s="274"/>
      <c r="H23" s="274"/>
      <c r="I23" s="274"/>
      <c r="J23" s="274"/>
      <c r="K23" s="275"/>
    </row>
    <row r="24" spans="1:11" ht="12.75">
      <c r="A24" s="272"/>
      <c r="B24" s="274"/>
      <c r="C24" s="274"/>
      <c r="D24" s="274"/>
      <c r="E24" s="274"/>
      <c r="F24" s="274"/>
      <c r="G24" s="274"/>
      <c r="H24" s="274"/>
      <c r="I24" s="274"/>
      <c r="J24" s="274"/>
      <c r="K24" s="275"/>
    </row>
    <row r="25" spans="1:11" ht="12.75">
      <c r="A25" s="272"/>
      <c r="B25" s="274"/>
      <c r="C25" s="274"/>
      <c r="D25" s="274"/>
      <c r="E25" s="274"/>
      <c r="F25" s="274"/>
      <c r="G25" s="274"/>
      <c r="H25" s="274"/>
      <c r="I25" s="274"/>
      <c r="J25" s="274"/>
      <c r="K25" s="275"/>
    </row>
    <row r="26" spans="1:11" ht="13.5" thickBot="1">
      <c r="A26" s="289"/>
      <c r="B26" s="290"/>
      <c r="C26" s="290"/>
      <c r="D26" s="290"/>
      <c r="E26" s="290"/>
      <c r="F26" s="290"/>
      <c r="G26" s="290"/>
      <c r="H26" s="290"/>
      <c r="I26" s="290"/>
      <c r="J26" s="290"/>
      <c r="K26" s="291"/>
    </row>
  </sheetData>
  <sheetProtection sheet="1" objects="1" scenarios="1"/>
  <printOptions horizontalCentered="1" verticalCentered="1"/>
  <pageMargins left="0.5" right="0.5" top="1" bottom="1" header="0.5" footer="0.5"/>
  <pageSetup blackAndWhite="1"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tabColor indexed="12"/>
  </sheetPr>
  <dimension ref="B1:J20"/>
  <sheetViews>
    <sheetView showGridLines="0" showRowColHeaders="0" zoomScale="75" zoomScaleNormal="75" zoomScalePageLayoutView="0" workbookViewId="0" topLeftCell="A1">
      <selection activeCell="D5" sqref="D5"/>
    </sheetView>
  </sheetViews>
  <sheetFormatPr defaultColWidth="9.77734375" defaultRowHeight="15"/>
  <cols>
    <col min="1" max="1" width="2.77734375" style="0" customWidth="1"/>
    <col min="2" max="2" width="16.77734375" style="0" customWidth="1"/>
    <col min="3" max="3" width="4.77734375" style="0" customWidth="1"/>
    <col min="4" max="4" width="11.77734375" style="0" customWidth="1"/>
    <col min="5" max="5" width="5.77734375" style="0" customWidth="1"/>
    <col min="6" max="9" width="9.77734375" style="0" customWidth="1"/>
    <col min="10" max="10" width="4.77734375" style="0" customWidth="1"/>
  </cols>
  <sheetData>
    <row r="1" spans="2:10" ht="24" thickTop="1">
      <c r="B1" s="7" t="s">
        <v>1024</v>
      </c>
      <c r="C1" s="8"/>
      <c r="D1" s="8"/>
      <c r="E1" s="8"/>
      <c r="F1" s="8"/>
      <c r="G1" s="8"/>
      <c r="H1" s="8"/>
      <c r="I1" s="8"/>
      <c r="J1" s="9"/>
    </row>
    <row r="2" spans="2:10" ht="15">
      <c r="B2" s="49" t="s">
        <v>1025</v>
      </c>
      <c r="C2" s="11"/>
      <c r="D2" s="11"/>
      <c r="E2" s="11"/>
      <c r="F2" s="11"/>
      <c r="G2" s="11"/>
      <c r="H2" s="11"/>
      <c r="I2" s="11"/>
      <c r="J2" s="13"/>
    </row>
    <row r="3" spans="2:10" ht="15">
      <c r="B3" s="29"/>
      <c r="C3" s="18"/>
      <c r="D3" s="18"/>
      <c r="E3" s="18"/>
      <c r="F3" s="18"/>
      <c r="G3" s="18"/>
      <c r="H3" s="18"/>
      <c r="I3" s="18"/>
      <c r="J3" s="19"/>
    </row>
    <row r="4" spans="2:10" ht="15">
      <c r="B4" s="29"/>
      <c r="C4" s="18"/>
      <c r="D4" s="18"/>
      <c r="E4" s="18"/>
      <c r="F4" s="50" t="s">
        <v>98</v>
      </c>
      <c r="G4" s="50" t="s">
        <v>100</v>
      </c>
      <c r="H4" s="50" t="s">
        <v>1026</v>
      </c>
      <c r="I4" s="50" t="s">
        <v>1027</v>
      </c>
      <c r="J4" s="19"/>
    </row>
    <row r="5" spans="2:10" ht="15">
      <c r="B5" s="52" t="s">
        <v>1028</v>
      </c>
      <c r="C5" s="38" t="s">
        <v>1029</v>
      </c>
      <c r="D5" s="3"/>
      <c r="E5" s="18"/>
      <c r="F5" s="18">
        <f>IF(OR(D6="",D8=""),"",(ASIN(SUM((D6*0.5)/D8))*180/PI())*2)</f>
      </c>
      <c r="G5" s="18">
        <f>IF(OR(D7="",D8=""),"",SUM(2*SQRT(D7*(2*D8-D7))))</f>
      </c>
      <c r="H5" s="18">
        <f>IF(OR(D6="",D8=""),"",SUM(D8-(0.5*SQRT((4*(D8*D8)-(D6*D6))))))</f>
      </c>
      <c r="I5" s="18">
        <f>IF(OR(D6="",D7=""),"",(SUM(D6*D6)+4*(D7*D7))/(8*D7))</f>
      </c>
      <c r="J5" s="19"/>
    </row>
    <row r="6" spans="2:10" ht="15">
      <c r="B6" s="52" t="s">
        <v>1030</v>
      </c>
      <c r="C6" s="38" t="s">
        <v>1031</v>
      </c>
      <c r="D6" s="3"/>
      <c r="E6" s="18"/>
      <c r="F6" s="18">
        <f>IF(OR(D7="",D8=""),"",(ASIN(SUM((G5*0.5)/D8))*180/PI())*2)</f>
      </c>
      <c r="G6" s="18">
        <f>IF(OR(D5="",D8=""),"",SUM(2*SQRT(H6*(2*D8-H6))))</f>
      </c>
      <c r="H6" s="18">
        <f>IF(OR(D5="",D8=""),"",SUM(D8*(1-COS((D5/180*PI())*0.5))))</f>
      </c>
      <c r="I6" s="18">
        <f>IF(OR(D5="",D6=""),"",SUM((D6*0.5)/SIN((D5*0.5)/180*PI())))</f>
      </c>
      <c r="J6" s="19"/>
    </row>
    <row r="7" spans="2:10" ht="15">
      <c r="B7" s="52" t="s">
        <v>1032</v>
      </c>
      <c r="C7" s="38" t="s">
        <v>1033</v>
      </c>
      <c r="D7" s="3"/>
      <c r="E7" s="18"/>
      <c r="F7" s="18">
        <f>IF(OR(D6="",D7=""),"",(ASIN(SUM((D6*0.5)/I5))*180/PI())*2)</f>
      </c>
      <c r="G7" s="18"/>
      <c r="H7" s="18">
        <f>IF(OR(D5="",D6=""),"",SUM(I6-(0.5*SQRT((4*(I6*I6)-(D6*D6))))))</f>
      </c>
      <c r="I7" s="18"/>
      <c r="J7" s="19"/>
    </row>
    <row r="8" spans="2:10" ht="15">
      <c r="B8" s="52" t="s">
        <v>1013</v>
      </c>
      <c r="C8" s="38" t="s">
        <v>1034</v>
      </c>
      <c r="D8" s="3"/>
      <c r="E8" s="18">
        <f>IF(OR(D5="",D7=""),""," This will not work with these two knowns.")</f>
      </c>
      <c r="F8" s="18"/>
      <c r="G8" s="18"/>
      <c r="H8" s="18"/>
      <c r="I8" s="18"/>
      <c r="J8" s="19"/>
    </row>
    <row r="9" spans="2:10" ht="15">
      <c r="B9" s="29"/>
      <c r="C9" s="18"/>
      <c r="D9" s="18"/>
      <c r="E9" s="18"/>
      <c r="F9" s="18"/>
      <c r="G9" s="18"/>
      <c r="H9" s="18"/>
      <c r="I9" s="18"/>
      <c r="J9" s="19"/>
    </row>
    <row r="10" spans="2:10" ht="15">
      <c r="B10" s="29"/>
      <c r="C10" s="18"/>
      <c r="D10" s="18"/>
      <c r="E10" s="18"/>
      <c r="F10" s="18"/>
      <c r="G10" s="18"/>
      <c r="H10" s="50" t="s">
        <v>100</v>
      </c>
      <c r="I10" s="18"/>
      <c r="J10" s="19"/>
    </row>
    <row r="11" spans="2:10" ht="15">
      <c r="B11" s="29"/>
      <c r="C11" s="18"/>
      <c r="D11" s="18"/>
      <c r="E11" s="18"/>
      <c r="F11" s="18"/>
      <c r="G11" s="18"/>
      <c r="H11" s="18"/>
      <c r="I11" s="18"/>
      <c r="J11" s="19"/>
    </row>
    <row r="12" spans="2:10" ht="15">
      <c r="B12" s="29"/>
      <c r="C12" s="18"/>
      <c r="D12" s="18"/>
      <c r="E12" s="18"/>
      <c r="F12" s="18"/>
      <c r="G12" s="18"/>
      <c r="H12" s="55"/>
      <c r="I12" s="18"/>
      <c r="J12" s="19"/>
    </row>
    <row r="13" spans="2:10" ht="15">
      <c r="B13" s="29"/>
      <c r="C13" s="18"/>
      <c r="D13" s="18"/>
      <c r="E13" s="18"/>
      <c r="F13" s="18"/>
      <c r="G13" s="18"/>
      <c r="H13" s="18"/>
      <c r="I13" s="18"/>
      <c r="J13" s="19"/>
    </row>
    <row r="14" spans="2:10" ht="15">
      <c r="B14" s="29"/>
      <c r="C14" s="18"/>
      <c r="D14" s="18"/>
      <c r="E14" s="18"/>
      <c r="F14" s="18"/>
      <c r="G14" s="18"/>
      <c r="H14" s="18"/>
      <c r="I14" s="18"/>
      <c r="J14" s="19"/>
    </row>
    <row r="15" spans="2:10" ht="15">
      <c r="B15" s="29"/>
      <c r="C15" s="18"/>
      <c r="D15" s="18"/>
      <c r="E15" s="18"/>
      <c r="F15" s="18"/>
      <c r="G15" s="18"/>
      <c r="H15" s="50" t="s">
        <v>98</v>
      </c>
      <c r="I15" s="18" t="s">
        <v>1027</v>
      </c>
      <c r="J15" s="19"/>
    </row>
    <row r="16" spans="2:10" ht="15">
      <c r="B16" s="29"/>
      <c r="C16" s="18"/>
      <c r="D16" s="18"/>
      <c r="E16" s="18"/>
      <c r="F16" s="18"/>
      <c r="G16" s="18"/>
      <c r="H16" s="50"/>
      <c r="I16" s="18"/>
      <c r="J16" s="19"/>
    </row>
    <row r="17" spans="2:10" ht="15">
      <c r="B17" s="29"/>
      <c r="C17" s="18"/>
      <c r="D17" s="18"/>
      <c r="E17" s="18"/>
      <c r="F17" s="18"/>
      <c r="G17" s="18"/>
      <c r="H17" s="50"/>
      <c r="I17" s="15"/>
      <c r="J17" s="19"/>
    </row>
    <row r="18" spans="2:10" ht="15">
      <c r="B18" s="29"/>
      <c r="C18" s="18"/>
      <c r="D18" s="18"/>
      <c r="E18" s="18"/>
      <c r="F18" s="18"/>
      <c r="G18" s="18"/>
      <c r="H18" s="50"/>
      <c r="I18" s="18"/>
      <c r="J18" s="19"/>
    </row>
    <row r="19" spans="2:10" ht="15">
      <c r="B19" s="29"/>
      <c r="C19" s="18"/>
      <c r="D19" s="18"/>
      <c r="E19" s="18"/>
      <c r="F19" s="18"/>
      <c r="G19" s="18"/>
      <c r="H19" s="18"/>
      <c r="I19" s="18"/>
      <c r="J19" s="19"/>
    </row>
    <row r="20" spans="2:10" ht="15.75" thickBot="1">
      <c r="B20" s="30"/>
      <c r="C20" s="21"/>
      <c r="D20" s="21"/>
      <c r="E20" s="21"/>
      <c r="F20" s="21"/>
      <c r="G20" s="21"/>
      <c r="H20" s="21"/>
      <c r="I20" s="21"/>
      <c r="J20" s="24"/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tabColor indexed="8"/>
  </sheetPr>
  <dimension ref="B1:H20"/>
  <sheetViews>
    <sheetView showGridLines="0" showRowColHeaders="0" zoomScale="75" zoomScaleNormal="75" zoomScalePageLayoutView="0" workbookViewId="0" topLeftCell="A1">
      <selection activeCell="D5" sqref="D5"/>
    </sheetView>
  </sheetViews>
  <sheetFormatPr defaultColWidth="9.77734375" defaultRowHeight="15"/>
  <cols>
    <col min="1" max="1" width="7.77734375" style="0" customWidth="1"/>
    <col min="2" max="2" width="21.77734375" style="0" customWidth="1"/>
    <col min="3" max="3" width="5.77734375" style="0" customWidth="1"/>
    <col min="8" max="8" width="3.77734375" style="0" customWidth="1"/>
  </cols>
  <sheetData>
    <row r="1" spans="2:8" ht="24" thickTop="1">
      <c r="B1" s="7" t="s">
        <v>1035</v>
      </c>
      <c r="C1" s="8"/>
      <c r="D1" s="8"/>
      <c r="E1" s="8"/>
      <c r="F1" s="8"/>
      <c r="G1" s="8"/>
      <c r="H1" s="56"/>
    </row>
    <row r="2" spans="2:8" ht="13.5" customHeight="1">
      <c r="B2" s="49" t="s">
        <v>1036</v>
      </c>
      <c r="C2" s="11"/>
      <c r="D2" s="11"/>
      <c r="E2" s="11"/>
      <c r="F2" s="11"/>
      <c r="G2" s="11"/>
      <c r="H2" s="19"/>
    </row>
    <row r="3" spans="2:8" ht="13.5" customHeight="1">
      <c r="B3" s="29"/>
      <c r="C3" s="18"/>
      <c r="D3" s="18"/>
      <c r="E3" s="18"/>
      <c r="F3" s="18"/>
      <c r="G3" s="18"/>
      <c r="H3" s="19"/>
    </row>
    <row r="4" spans="2:8" ht="15">
      <c r="B4" s="29"/>
      <c r="C4" s="18"/>
      <c r="D4" s="18"/>
      <c r="E4" s="18"/>
      <c r="F4" s="50" t="s">
        <v>1037</v>
      </c>
      <c r="G4" s="50" t="s">
        <v>1038</v>
      </c>
      <c r="H4" s="19"/>
    </row>
    <row r="5" spans="2:8" ht="15">
      <c r="B5" s="52" t="s">
        <v>1039</v>
      </c>
      <c r="C5" s="38" t="s">
        <v>1040</v>
      </c>
      <c r="D5" s="3"/>
      <c r="E5" s="18"/>
      <c r="F5" s="51">
        <f>IF(OR(D5="",D7=""),"",SUM(((D7*0.5)*COS(((360/D5)*0.5)/180*PI())))*2)</f>
      </c>
      <c r="G5" s="51">
        <f>IF(OR(D5="",D6=""),"",SUM(((D6*0.5)/COS(((360/D5)*0.5)/180*PI())))*2)</f>
      </c>
      <c r="H5" s="19"/>
    </row>
    <row r="6" spans="2:8" ht="15">
      <c r="B6" s="52" t="s">
        <v>1041</v>
      </c>
      <c r="C6" s="38" t="s">
        <v>1042</v>
      </c>
      <c r="D6" s="3"/>
      <c r="E6" s="18">
        <f>IF(OR(D6="",D7=""),""," You can't enter both the IC and OC.")</f>
      </c>
      <c r="F6" s="18"/>
      <c r="G6" s="18"/>
      <c r="H6" s="19"/>
    </row>
    <row r="7" spans="2:8" ht="15">
      <c r="B7" s="52" t="s">
        <v>1043</v>
      </c>
      <c r="C7" s="38" t="s">
        <v>1044</v>
      </c>
      <c r="D7" s="3"/>
      <c r="E7" s="18">
        <f>IF(OR(D6="",D7=""),""," You must enter ES and one other.")</f>
      </c>
      <c r="F7" s="18"/>
      <c r="G7" s="18"/>
      <c r="H7" s="19"/>
    </row>
    <row r="8" spans="2:8" ht="15">
      <c r="B8" s="29"/>
      <c r="C8" s="18"/>
      <c r="D8" s="18"/>
      <c r="E8" s="18"/>
      <c r="F8" s="18"/>
      <c r="G8" s="18"/>
      <c r="H8" s="19"/>
    </row>
    <row r="9" spans="2:8" ht="15">
      <c r="B9" s="29"/>
      <c r="C9" s="18"/>
      <c r="D9" s="18"/>
      <c r="E9" s="18"/>
      <c r="F9" s="18"/>
      <c r="G9" s="18"/>
      <c r="H9" s="19"/>
    </row>
    <row r="10" spans="2:8" ht="15">
      <c r="B10" s="29"/>
      <c r="C10" s="18"/>
      <c r="D10" s="18"/>
      <c r="E10" s="18"/>
      <c r="F10" s="18"/>
      <c r="G10" s="18"/>
      <c r="H10" s="19"/>
    </row>
    <row r="11" spans="2:8" ht="15">
      <c r="B11" s="29"/>
      <c r="C11" s="18"/>
      <c r="D11" s="18"/>
      <c r="E11" s="18"/>
      <c r="F11" s="18"/>
      <c r="G11" s="18"/>
      <c r="H11" s="19"/>
    </row>
    <row r="12" spans="2:8" ht="15">
      <c r="B12" s="27" t="s">
        <v>985</v>
      </c>
      <c r="C12" s="57"/>
      <c r="D12" s="57"/>
      <c r="E12" s="18"/>
      <c r="F12" s="18"/>
      <c r="G12" s="18"/>
      <c r="H12" s="19"/>
    </row>
    <row r="13" spans="2:8" ht="15">
      <c r="B13" s="49" t="s">
        <v>1045</v>
      </c>
      <c r="C13" s="11"/>
      <c r="D13" s="11"/>
      <c r="E13" s="18"/>
      <c r="F13" s="18"/>
      <c r="G13" s="18"/>
      <c r="H13" s="19"/>
    </row>
    <row r="14" spans="2:8" ht="15">
      <c r="B14" s="49" t="s">
        <v>1046</v>
      </c>
      <c r="C14" s="11"/>
      <c r="D14" s="11"/>
      <c r="E14" s="18"/>
      <c r="F14" s="18" t="s">
        <v>1037</v>
      </c>
      <c r="G14" s="18"/>
      <c r="H14" s="19"/>
    </row>
    <row r="15" spans="2:8" ht="15">
      <c r="B15" s="29"/>
      <c r="C15" s="18"/>
      <c r="D15" s="18"/>
      <c r="E15" s="18"/>
      <c r="F15" s="18"/>
      <c r="G15" s="18"/>
      <c r="H15" s="19"/>
    </row>
    <row r="16" spans="2:8" ht="15">
      <c r="B16" s="29"/>
      <c r="C16" s="18"/>
      <c r="D16" s="18"/>
      <c r="E16" s="18"/>
      <c r="F16" s="18"/>
      <c r="G16" s="18"/>
      <c r="H16" s="19"/>
    </row>
    <row r="17" spans="2:8" ht="15">
      <c r="B17" s="29"/>
      <c r="C17" s="18"/>
      <c r="D17" s="18"/>
      <c r="E17" s="18"/>
      <c r="F17" s="18"/>
      <c r="G17" s="18"/>
      <c r="H17" s="19"/>
    </row>
    <row r="18" spans="2:8" ht="15">
      <c r="B18" s="29"/>
      <c r="C18" s="18"/>
      <c r="D18" s="18"/>
      <c r="E18" s="18"/>
      <c r="F18" s="18"/>
      <c r="G18" s="18"/>
      <c r="H18" s="19"/>
    </row>
    <row r="19" spans="2:8" ht="15">
      <c r="B19" s="29"/>
      <c r="C19" s="18"/>
      <c r="D19" s="18"/>
      <c r="E19" s="18"/>
      <c r="F19" s="18"/>
      <c r="G19" s="18"/>
      <c r="H19" s="19"/>
    </row>
    <row r="20" spans="2:8" ht="15.75" thickBot="1">
      <c r="B20" s="30"/>
      <c r="C20" s="21"/>
      <c r="D20" s="21"/>
      <c r="E20" s="21"/>
      <c r="F20" s="21"/>
      <c r="G20" s="21"/>
      <c r="H20" s="24"/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C72"/>
  <sheetViews>
    <sheetView showGridLines="0" showZeros="0" zoomScalePageLayoutView="0" workbookViewId="0" topLeftCell="A8">
      <selection activeCell="I8" sqref="I8:K8"/>
    </sheetView>
  </sheetViews>
  <sheetFormatPr defaultColWidth="7.10546875" defaultRowHeight="15"/>
  <cols>
    <col min="1" max="28" width="3.6640625" style="566" customWidth="1"/>
    <col min="29" max="16384" width="7.10546875" style="566" customWidth="1"/>
  </cols>
  <sheetData>
    <row r="1" spans="1:28" ht="12.75" customHeight="1" hidden="1">
      <c r="A1" s="560"/>
      <c r="B1" s="561"/>
      <c r="C1" s="562" t="s">
        <v>882</v>
      </c>
      <c r="D1" s="562" t="s">
        <v>883</v>
      </c>
      <c r="E1" s="562" t="s">
        <v>884</v>
      </c>
      <c r="F1" s="562" t="s">
        <v>885</v>
      </c>
      <c r="G1" s="563"/>
      <c r="H1" s="563"/>
      <c r="I1" s="564"/>
      <c r="J1" s="563"/>
      <c r="K1" s="563"/>
      <c r="L1" s="563"/>
      <c r="M1" s="562" t="s">
        <v>886</v>
      </c>
      <c r="N1" s="562" t="s">
        <v>887</v>
      </c>
      <c r="O1" s="562" t="s">
        <v>888</v>
      </c>
      <c r="P1" s="562" t="s">
        <v>889</v>
      </c>
      <c r="Q1" s="563"/>
      <c r="R1" s="564"/>
      <c r="S1" s="563"/>
      <c r="T1" s="563"/>
      <c r="U1" s="562" t="s">
        <v>890</v>
      </c>
      <c r="V1" s="562" t="s">
        <v>891</v>
      </c>
      <c r="W1" s="562" t="s">
        <v>892</v>
      </c>
      <c r="X1" s="562" t="s">
        <v>893</v>
      </c>
      <c r="Y1" s="563"/>
      <c r="Z1" s="563"/>
      <c r="AA1" s="563"/>
      <c r="AB1" s="565"/>
    </row>
    <row r="2" spans="1:29" ht="13.5" customHeight="1" hidden="1">
      <c r="A2" s="567"/>
      <c r="B2" s="568"/>
      <c r="C2" s="569" t="str">
        <f>"1/1/"&amp;I8</f>
        <v>1/1/2009</v>
      </c>
      <c r="D2" s="568">
        <f>U2+31</f>
        <v>39904</v>
      </c>
      <c r="E2" s="568">
        <f>V2+30</f>
        <v>39995</v>
      </c>
      <c r="F2" s="568">
        <f>W2+30</f>
        <v>40087</v>
      </c>
      <c r="G2" s="568"/>
      <c r="H2" s="570"/>
      <c r="I2" s="571"/>
      <c r="J2" s="570"/>
      <c r="K2" s="570"/>
      <c r="L2" s="570">
        <f>IF(OR((AND(MOD(YEAR(C2),4)=0,MOD(YEAR(C2),100)&lt;&gt;0)),(MOD(YEAR(C2),400)=0)),29,28)</f>
        <v>28</v>
      </c>
      <c r="M2" s="568">
        <f>C2+31</f>
        <v>39845</v>
      </c>
      <c r="N2" s="568">
        <f>D2+30</f>
        <v>39934</v>
      </c>
      <c r="O2" s="568">
        <f>E2+31</f>
        <v>40026</v>
      </c>
      <c r="P2" s="568">
        <f>F2+31</f>
        <v>40118</v>
      </c>
      <c r="Q2" s="570"/>
      <c r="R2" s="571"/>
      <c r="S2" s="570"/>
      <c r="T2" s="570"/>
      <c r="U2" s="568">
        <f>M2+L2</f>
        <v>39873</v>
      </c>
      <c r="V2" s="568">
        <f>N2+31</f>
        <v>39965</v>
      </c>
      <c r="W2" s="568">
        <f>O2+31</f>
        <v>40057</v>
      </c>
      <c r="X2" s="568">
        <f>P2+30</f>
        <v>40148</v>
      </c>
      <c r="Y2" s="570"/>
      <c r="Z2" s="570"/>
      <c r="AA2" s="570"/>
      <c r="AC2" s="572"/>
    </row>
    <row r="3" spans="1:27" ht="14.25" customHeight="1" hidden="1">
      <c r="A3" s="573" t="s">
        <v>882</v>
      </c>
      <c r="B3" s="574"/>
      <c r="C3" s="570">
        <f>IF(WEEKDAY($C$2)=1,1,0)</f>
        <v>0</v>
      </c>
      <c r="D3" s="570">
        <f>IF(WEEKDAY($C$2)=2,1,0)</f>
        <v>0</v>
      </c>
      <c r="E3" s="570">
        <f>IF(WEEKDAY($C$2)=3,1,0)</f>
        <v>0</v>
      </c>
      <c r="F3" s="570">
        <f>IF(WEEKDAY($C$2)=4,1,0)</f>
        <v>0</v>
      </c>
      <c r="G3" s="570">
        <f>IF(WEEKDAY($C$2)=5,1,0)</f>
        <v>1</v>
      </c>
      <c r="H3" s="570">
        <f>IF(WEEKDAY($C$2)=6,1,0)</f>
        <v>0</v>
      </c>
      <c r="I3" s="571">
        <f>IF(WEEKDAY($C$2)=7,1,0)</f>
        <v>0</v>
      </c>
      <c r="J3" s="574" t="s">
        <v>886</v>
      </c>
      <c r="K3" s="574"/>
      <c r="L3" s="570">
        <f>IF(WEEKDAY($M$2)=1,1,0)</f>
        <v>1</v>
      </c>
      <c r="M3" s="570">
        <f>IF(WEEKDAY($M$2)=2,1,0)</f>
        <v>0</v>
      </c>
      <c r="N3" s="570">
        <f>IF(WEEKDAY($M$2)=3,1,0)</f>
        <v>0</v>
      </c>
      <c r="O3" s="570">
        <f>IF(WEEKDAY($M$2)=4,1,0)</f>
        <v>0</v>
      </c>
      <c r="P3" s="570">
        <f>IF(WEEKDAY($M$2)=5,1,0)</f>
        <v>0</v>
      </c>
      <c r="Q3" s="570">
        <f>IF(WEEKDAY($M$2)=6,1,0)</f>
        <v>0</v>
      </c>
      <c r="R3" s="571">
        <f>IF(WEEKDAY($M$2)=7,1,0)</f>
        <v>0</v>
      </c>
      <c r="S3" s="574" t="s">
        <v>890</v>
      </c>
      <c r="T3" s="574"/>
      <c r="U3" s="570">
        <f>IF(WEEKDAY($U$2)=1,1,0)</f>
        <v>1</v>
      </c>
      <c r="V3" s="570">
        <f>IF(WEEKDAY($U$2)=2,1,0)</f>
        <v>0</v>
      </c>
      <c r="W3" s="570">
        <f>IF(WEEKDAY($U$2)=3,1,0)</f>
        <v>0</v>
      </c>
      <c r="X3" s="570">
        <f>IF(WEEKDAY($U$2)=4,1,0)</f>
        <v>0</v>
      </c>
      <c r="Y3" s="570">
        <f>IF(WEEKDAY($U$2)=5,1,0)</f>
        <v>0</v>
      </c>
      <c r="Z3" s="570">
        <f>IF(WEEKDAY($U$2)=6,1,0)</f>
        <v>0</v>
      </c>
      <c r="AA3" s="570">
        <f>IF(WEEKDAY($U$2)=7,1,0)</f>
        <v>0</v>
      </c>
    </row>
    <row r="4" spans="1:27" ht="16.5" customHeight="1" hidden="1">
      <c r="A4" s="573" t="s">
        <v>883</v>
      </c>
      <c r="B4" s="574"/>
      <c r="C4" s="570">
        <f>IF(WEEKDAY($D$2)=1,1,0)</f>
        <v>0</v>
      </c>
      <c r="D4" s="570">
        <f>IF(WEEKDAY($D$2)=2,1,0)</f>
        <v>0</v>
      </c>
      <c r="E4" s="570">
        <f>IF(WEEKDAY($D$2)=3,1,0)</f>
        <v>0</v>
      </c>
      <c r="F4" s="570">
        <f>IF(WEEKDAY($D$2)=4,1,0)</f>
        <v>1</v>
      </c>
      <c r="G4" s="570">
        <f>IF(WEEKDAY($D$2)=5,1,0)</f>
        <v>0</v>
      </c>
      <c r="H4" s="570">
        <f>IF(WEEKDAY($D$2)=6,1,0)</f>
        <v>0</v>
      </c>
      <c r="I4" s="571">
        <f>IF(WEEKDAY($D$2)=7,1,0)</f>
        <v>0</v>
      </c>
      <c r="J4" s="574" t="s">
        <v>887</v>
      </c>
      <c r="K4" s="574"/>
      <c r="L4" s="570">
        <f>IF(WEEKDAY($N$2)=1,1,0)</f>
        <v>0</v>
      </c>
      <c r="M4" s="570">
        <f>IF(WEEKDAY($N$2)=2,1,0)</f>
        <v>0</v>
      </c>
      <c r="N4" s="570">
        <f>IF(WEEKDAY($N$2)=3,1,0)</f>
        <v>0</v>
      </c>
      <c r="O4" s="570">
        <f>IF(WEEKDAY($N$2)=4,1,0)</f>
        <v>0</v>
      </c>
      <c r="P4" s="570">
        <f>IF(WEEKDAY($N$2)=5,1,0)</f>
        <v>0</v>
      </c>
      <c r="Q4" s="570">
        <f>IF(WEEKDAY($N$2)=6,1,0)</f>
        <v>1</v>
      </c>
      <c r="R4" s="571">
        <f>IF(WEEKDAY($N$2)=7,1,0)</f>
        <v>0</v>
      </c>
      <c r="S4" s="574" t="s">
        <v>891</v>
      </c>
      <c r="T4" s="574"/>
      <c r="U4" s="570">
        <f>IF(WEEKDAY($V$2)=1,1,0)</f>
        <v>0</v>
      </c>
      <c r="V4" s="570">
        <f>IF(WEEKDAY($V$2)=2,1,0)</f>
        <v>1</v>
      </c>
      <c r="W4" s="570">
        <f>IF(WEEKDAY($V$2)=3,1,0)</f>
        <v>0</v>
      </c>
      <c r="X4" s="570">
        <f>IF(WEEKDAY($V$2)=4,1,0)</f>
        <v>0</v>
      </c>
      <c r="Y4" s="570">
        <f>IF(WEEKDAY($V$2)=5,1,0)</f>
        <v>0</v>
      </c>
      <c r="Z4" s="570">
        <f>IF(WEEKDAY($V$2)=6,1,0)</f>
        <v>0</v>
      </c>
      <c r="AA4" s="570">
        <f>IF(WEEKDAY($V$2)=7,1,0)</f>
        <v>0</v>
      </c>
    </row>
    <row r="5" spans="1:27" ht="16.5" customHeight="1" hidden="1">
      <c r="A5" s="573" t="s">
        <v>884</v>
      </c>
      <c r="B5" s="574"/>
      <c r="C5" s="570">
        <f>IF(WEEKDAY($E$2)=1,1,0)</f>
        <v>0</v>
      </c>
      <c r="D5" s="570">
        <f>IF(WEEKDAY($E$2)=2,1,0)</f>
        <v>0</v>
      </c>
      <c r="E5" s="570">
        <f>IF(WEEKDAY($E$2)=3,1,0)</f>
        <v>0</v>
      </c>
      <c r="F5" s="570">
        <f>IF(WEEKDAY($E$2)=4,1,0)</f>
        <v>1</v>
      </c>
      <c r="G5" s="570">
        <f>IF(WEEKDAY($E$2)=5,1,0)</f>
        <v>0</v>
      </c>
      <c r="H5" s="570">
        <f>IF(WEEKDAY($E$2)=6,1,0)</f>
        <v>0</v>
      </c>
      <c r="I5" s="571">
        <f>IF(WEEKDAY($E$2)=7,1,0)</f>
        <v>0</v>
      </c>
      <c r="J5" s="574" t="s">
        <v>888</v>
      </c>
      <c r="K5" s="574"/>
      <c r="L5" s="570">
        <f>IF(WEEKDAY($O$2)=1,1,0)</f>
        <v>0</v>
      </c>
      <c r="M5" s="570">
        <f>IF(WEEKDAY($O$2)=2,1,0)</f>
        <v>0</v>
      </c>
      <c r="N5" s="570">
        <f>IF(WEEKDAY($O$2)=3,1,0)</f>
        <v>0</v>
      </c>
      <c r="O5" s="570">
        <f>IF(WEEKDAY($O$2)=4,1,0)</f>
        <v>0</v>
      </c>
      <c r="P5" s="570">
        <f>IF(WEEKDAY($O$2)=5,1,0)</f>
        <v>0</v>
      </c>
      <c r="Q5" s="570">
        <f>IF(WEEKDAY($O$2)=6,1,0)</f>
        <v>0</v>
      </c>
      <c r="R5" s="571">
        <f>IF(WEEKDAY($O$2)=7,1,0)</f>
        <v>1</v>
      </c>
      <c r="S5" s="574" t="s">
        <v>892</v>
      </c>
      <c r="T5" s="574"/>
      <c r="U5" s="570">
        <f>IF(WEEKDAY($W$2)=1,1,0)</f>
        <v>0</v>
      </c>
      <c r="V5" s="570">
        <f>IF(WEEKDAY($W$2)=2,1,0)</f>
        <v>0</v>
      </c>
      <c r="W5" s="570">
        <f>IF(WEEKDAY($W$2)=3,1,0)</f>
        <v>1</v>
      </c>
      <c r="X5" s="570">
        <f>IF(WEEKDAY($W$2)=4,1,0)</f>
        <v>0</v>
      </c>
      <c r="Y5" s="570">
        <f>IF(WEEKDAY($W$2)=5,1,0)</f>
        <v>0</v>
      </c>
      <c r="Z5" s="570">
        <f>IF(WEEKDAY($W$2)=6,1,0)</f>
        <v>0</v>
      </c>
      <c r="AA5" s="570">
        <f>IF(WEEKDAY($W$2)=7,1,0)</f>
        <v>0</v>
      </c>
    </row>
    <row r="6" spans="1:27" ht="20.25" customHeight="1" hidden="1">
      <c r="A6" s="573" t="s">
        <v>885</v>
      </c>
      <c r="B6" s="574"/>
      <c r="C6" s="570">
        <f>IF(WEEKDAY($F$2)=1,1,0)</f>
        <v>0</v>
      </c>
      <c r="D6" s="570">
        <f>IF(WEEKDAY($F$2)=2,1,0)</f>
        <v>0</v>
      </c>
      <c r="E6" s="570">
        <f>IF(WEEKDAY($F$2)=3,1,0)</f>
        <v>0</v>
      </c>
      <c r="F6" s="570">
        <f>IF(WEEKDAY($F$2)=4,1,0)</f>
        <v>0</v>
      </c>
      <c r="G6" s="570">
        <f>IF(WEEKDAY($F$2)=5,1,0)</f>
        <v>1</v>
      </c>
      <c r="H6" s="570">
        <f>IF(WEEKDAY($F$2)=6,1,0)</f>
        <v>0</v>
      </c>
      <c r="I6" s="571">
        <f>IF(WEEKDAY($F$2)=7,1,0)</f>
        <v>0</v>
      </c>
      <c r="J6" s="574" t="s">
        <v>889</v>
      </c>
      <c r="K6" s="574"/>
      <c r="L6" s="570">
        <f>IF(WEEKDAY($P$2)=1,1,0)</f>
        <v>1</v>
      </c>
      <c r="M6" s="570">
        <f>IF(WEEKDAY($P$2)=2,1,0)</f>
        <v>0</v>
      </c>
      <c r="N6" s="570">
        <f>IF(WEEKDAY($P$2)=3,1,0)</f>
        <v>0</v>
      </c>
      <c r="O6" s="570">
        <f>IF(WEEKDAY($P$2)=4,1,0)</f>
        <v>0</v>
      </c>
      <c r="P6" s="570">
        <f>IF(WEEKDAY($P$2)=5,1,0)</f>
        <v>0</v>
      </c>
      <c r="Q6" s="570">
        <f>IF(WEEKDAY($P$2)=6,1,0)</f>
        <v>0</v>
      </c>
      <c r="R6" s="571">
        <f>IF(WEEKDAY($P$2)=7,1,0)</f>
        <v>0</v>
      </c>
      <c r="S6" s="574" t="s">
        <v>893</v>
      </c>
      <c r="T6" s="574"/>
      <c r="U6" s="570">
        <f>IF(WEEKDAY($X$2)=1,1,0)</f>
        <v>0</v>
      </c>
      <c r="V6" s="570">
        <f>IF(WEEKDAY($X$2)=2,1,0)</f>
        <v>0</v>
      </c>
      <c r="W6" s="570">
        <f>IF(WEEKDAY($X$2)=3,1,0)</f>
        <v>1</v>
      </c>
      <c r="X6" s="570">
        <f>IF(WEEKDAY($X$2)=4,1,0)</f>
        <v>0</v>
      </c>
      <c r="Y6" s="570">
        <f>IF(WEEKDAY($X$2)=5,1,0)</f>
        <v>0</v>
      </c>
      <c r="Z6" s="570">
        <f>IF(WEEKDAY($X$2)=6,1,0)</f>
        <v>0</v>
      </c>
      <c r="AA6" s="570">
        <f>IF(WEEKDAY($X$2)=7,1,0)</f>
        <v>0</v>
      </c>
    </row>
    <row r="7" ht="14.25" customHeight="1" hidden="1"/>
    <row r="8" spans="1:19" ht="24.75" customHeight="1">
      <c r="A8" s="575"/>
      <c r="B8" s="576"/>
      <c r="C8" s="577" t="s">
        <v>894</v>
      </c>
      <c r="D8" s="578"/>
      <c r="E8" s="578"/>
      <c r="F8" s="578"/>
      <c r="G8" s="578"/>
      <c r="H8" s="579"/>
      <c r="I8" s="657">
        <v>2009</v>
      </c>
      <c r="J8" s="657"/>
      <c r="K8" s="657"/>
      <c r="N8" s="580" t="s">
        <v>895</v>
      </c>
      <c r="O8" s="581"/>
      <c r="P8" s="581"/>
      <c r="Q8" s="581"/>
      <c r="R8" s="581"/>
      <c r="S8" s="581"/>
    </row>
    <row r="9" spans="1:11" ht="15.75" customHeight="1" thickBot="1">
      <c r="A9" s="582"/>
      <c r="B9" s="582"/>
      <c r="C9" s="583" t="s">
        <v>896</v>
      </c>
      <c r="D9" s="584"/>
      <c r="E9" s="584"/>
      <c r="F9" s="584"/>
      <c r="G9" s="584"/>
      <c r="H9" s="579"/>
      <c r="I9" s="585"/>
      <c r="J9" s="585"/>
      <c r="K9" s="585"/>
    </row>
    <row r="10" spans="1:28" ht="7.5" customHeight="1">
      <c r="A10" s="586"/>
      <c r="B10" s="587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8"/>
      <c r="Z10" s="588"/>
      <c r="AA10" s="588"/>
      <c r="AB10" s="589"/>
    </row>
    <row r="11" spans="1:28" ht="7.5" customHeight="1">
      <c r="A11" s="590"/>
      <c r="B11" s="591"/>
      <c r="C11" s="592"/>
      <c r="D11" s="592"/>
      <c r="E11" s="592"/>
      <c r="F11" s="592"/>
      <c r="G11" s="592"/>
      <c r="H11" s="592"/>
      <c r="I11" s="592"/>
      <c r="J11" s="592"/>
      <c r="K11" s="592"/>
      <c r="L11" s="592"/>
      <c r="M11" s="592"/>
      <c r="N11" s="592"/>
      <c r="O11" s="592"/>
      <c r="P11" s="592"/>
      <c r="Q11" s="592"/>
      <c r="R11" s="592"/>
      <c r="S11" s="592"/>
      <c r="T11" s="592"/>
      <c r="U11" s="592"/>
      <c r="V11" s="592"/>
      <c r="W11" s="592"/>
      <c r="X11" s="592"/>
      <c r="Y11" s="592"/>
      <c r="Z11" s="592"/>
      <c r="AA11" s="592"/>
      <c r="AB11" s="593"/>
    </row>
    <row r="12" spans="1:28" ht="24.75">
      <c r="A12" s="594"/>
      <c r="B12" s="595"/>
      <c r="C12" s="596"/>
      <c r="D12" s="596"/>
      <c r="E12" s="596"/>
      <c r="F12" s="596"/>
      <c r="G12" s="596"/>
      <c r="H12" s="596"/>
      <c r="I12" s="596"/>
      <c r="J12" s="659" t="s">
        <v>897</v>
      </c>
      <c r="K12" s="659"/>
      <c r="L12" s="659"/>
      <c r="M12" s="659"/>
      <c r="N12" s="659"/>
      <c r="O12" s="659"/>
      <c r="P12" s="658">
        <f>I8</f>
        <v>2009</v>
      </c>
      <c r="Q12" s="658"/>
      <c r="R12" s="596"/>
      <c r="S12" s="596"/>
      <c r="T12" s="596"/>
      <c r="U12" s="596"/>
      <c r="V12" s="596"/>
      <c r="W12" s="596"/>
      <c r="X12" s="596"/>
      <c r="Y12" s="596"/>
      <c r="Z12" s="596"/>
      <c r="AA12" s="596"/>
      <c r="AB12" s="597"/>
    </row>
    <row r="13" spans="1:28" ht="20.25">
      <c r="A13" s="594"/>
      <c r="B13" s="595"/>
      <c r="C13" s="596"/>
      <c r="D13" s="596"/>
      <c r="E13" s="596"/>
      <c r="F13" s="596"/>
      <c r="G13" s="596"/>
      <c r="H13" s="596"/>
      <c r="I13" s="596"/>
      <c r="J13" s="598"/>
      <c r="K13" s="598"/>
      <c r="L13" s="598"/>
      <c r="M13" s="598"/>
      <c r="N13" s="598"/>
      <c r="O13" s="598"/>
      <c r="P13" s="599"/>
      <c r="Q13" s="599"/>
      <c r="R13" s="596"/>
      <c r="S13" s="596"/>
      <c r="T13" s="596"/>
      <c r="U13" s="596"/>
      <c r="V13" s="596"/>
      <c r="W13" s="596"/>
      <c r="X13" s="596"/>
      <c r="Y13" s="596"/>
      <c r="Z13" s="596"/>
      <c r="AA13" s="596"/>
      <c r="AB13" s="597"/>
    </row>
    <row r="14" spans="1:28" ht="12.75">
      <c r="A14" s="590"/>
      <c r="B14" s="591"/>
      <c r="C14" s="592"/>
      <c r="D14" s="592"/>
      <c r="E14" s="600"/>
      <c r="F14" s="592"/>
      <c r="G14" s="592"/>
      <c r="H14" s="592"/>
      <c r="I14" s="592"/>
      <c r="J14" s="592"/>
      <c r="K14" s="592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592"/>
      <c r="W14" s="592"/>
      <c r="X14" s="592"/>
      <c r="Y14" s="592"/>
      <c r="Z14" s="592"/>
      <c r="AA14" s="592"/>
      <c r="AB14" s="593"/>
    </row>
    <row r="15" spans="1:28" ht="12.75">
      <c r="A15" s="590"/>
      <c r="B15" s="591"/>
      <c r="C15" s="592"/>
      <c r="D15" s="592"/>
      <c r="E15" s="600"/>
      <c r="F15" s="592"/>
      <c r="G15" s="592"/>
      <c r="H15" s="592"/>
      <c r="I15" s="592"/>
      <c r="J15" s="592"/>
      <c r="K15" s="592"/>
      <c r="L15" s="592"/>
      <c r="M15" s="592"/>
      <c r="N15" s="592"/>
      <c r="O15" s="592"/>
      <c r="P15" s="592"/>
      <c r="Q15" s="592"/>
      <c r="R15" s="592"/>
      <c r="S15" s="592"/>
      <c r="T15" s="592"/>
      <c r="U15" s="592"/>
      <c r="V15" s="592"/>
      <c r="W15" s="592"/>
      <c r="X15" s="592"/>
      <c r="Y15" s="592"/>
      <c r="Z15" s="592"/>
      <c r="AA15" s="592"/>
      <c r="AB15" s="593"/>
    </row>
    <row r="16" spans="1:28" ht="12.75">
      <c r="A16" s="590"/>
      <c r="B16" s="591"/>
      <c r="C16" s="592"/>
      <c r="D16" s="592"/>
      <c r="E16" s="600"/>
      <c r="F16" s="592"/>
      <c r="G16" s="592"/>
      <c r="H16" s="592"/>
      <c r="I16" s="592"/>
      <c r="J16" s="592"/>
      <c r="K16" s="592"/>
      <c r="L16" s="592"/>
      <c r="M16" s="592"/>
      <c r="N16" s="592"/>
      <c r="O16" s="592"/>
      <c r="P16" s="592"/>
      <c r="Q16" s="592"/>
      <c r="R16" s="592"/>
      <c r="S16" s="592"/>
      <c r="T16" s="592"/>
      <c r="U16" s="592"/>
      <c r="V16" s="592"/>
      <c r="W16" s="592"/>
      <c r="X16" s="592"/>
      <c r="Y16" s="592"/>
      <c r="Z16" s="592"/>
      <c r="AA16" s="592"/>
      <c r="AB16" s="593"/>
    </row>
    <row r="17" spans="1:28" ht="12.75">
      <c r="A17" s="590"/>
      <c r="B17" s="591"/>
      <c r="C17" s="592"/>
      <c r="D17" s="592"/>
      <c r="E17" s="600"/>
      <c r="F17" s="592"/>
      <c r="G17" s="592"/>
      <c r="H17" s="592"/>
      <c r="I17" s="592"/>
      <c r="J17" s="592"/>
      <c r="K17" s="592"/>
      <c r="L17" s="592"/>
      <c r="M17" s="592"/>
      <c r="N17" s="600"/>
      <c r="O17" s="592"/>
      <c r="P17" s="592"/>
      <c r="Q17" s="592"/>
      <c r="R17" s="592"/>
      <c r="S17" s="592"/>
      <c r="T17" s="592"/>
      <c r="U17" s="592"/>
      <c r="V17" s="592"/>
      <c r="W17" s="592"/>
      <c r="X17" s="600"/>
      <c r="Y17" s="592"/>
      <c r="Z17" s="592"/>
      <c r="AA17" s="592"/>
      <c r="AB17" s="593"/>
    </row>
    <row r="18" spans="1:28" ht="12.75">
      <c r="A18" s="590"/>
      <c r="B18" s="591"/>
      <c r="C18" s="592"/>
      <c r="D18" s="592"/>
      <c r="E18" s="600"/>
      <c r="F18" s="592"/>
      <c r="G18" s="592"/>
      <c r="H18" s="592"/>
      <c r="I18" s="592"/>
      <c r="J18" s="592"/>
      <c r="K18" s="592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2"/>
      <c r="Z18" s="592"/>
      <c r="AA18" s="592"/>
      <c r="AB18" s="593"/>
    </row>
    <row r="19" spans="1:28" ht="12.75">
      <c r="A19" s="590"/>
      <c r="B19" s="591"/>
      <c r="C19" s="592"/>
      <c r="D19" s="592"/>
      <c r="E19" s="600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3"/>
    </row>
    <row r="20" spans="1:28" ht="12.75">
      <c r="A20" s="590"/>
      <c r="B20" s="591"/>
      <c r="C20" s="592"/>
      <c r="D20" s="592"/>
      <c r="E20" s="600"/>
      <c r="F20" s="592"/>
      <c r="G20" s="592"/>
      <c r="H20" s="592"/>
      <c r="I20" s="592"/>
      <c r="J20" s="592"/>
      <c r="K20" s="592"/>
      <c r="L20" s="592"/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2"/>
      <c r="AA20" s="592"/>
      <c r="AB20" s="593"/>
    </row>
    <row r="21" spans="1:28" s="604" customFormat="1" ht="18" customHeight="1" thickBot="1">
      <c r="A21" s="601"/>
      <c r="B21" s="656" t="s">
        <v>898</v>
      </c>
      <c r="C21" s="656"/>
      <c r="D21" s="656"/>
      <c r="E21" s="656"/>
      <c r="F21" s="656"/>
      <c r="G21" s="656"/>
      <c r="H21" s="656"/>
      <c r="I21" s="656"/>
      <c r="J21" s="602"/>
      <c r="K21" s="653" t="s">
        <v>899</v>
      </c>
      <c r="L21" s="653"/>
      <c r="M21" s="653"/>
      <c r="N21" s="653"/>
      <c r="O21" s="653"/>
      <c r="P21" s="653"/>
      <c r="Q21" s="653"/>
      <c r="R21" s="653"/>
      <c r="S21" s="602"/>
      <c r="T21" s="654" t="s">
        <v>900</v>
      </c>
      <c r="U21" s="654"/>
      <c r="V21" s="654"/>
      <c r="W21" s="654"/>
      <c r="X21" s="654"/>
      <c r="Y21" s="654"/>
      <c r="Z21" s="654"/>
      <c r="AA21" s="654"/>
      <c r="AB21" s="603"/>
    </row>
    <row r="22" spans="1:28" ht="18" customHeight="1">
      <c r="A22" s="605"/>
      <c r="B22" s="606" t="s">
        <v>901</v>
      </c>
      <c r="C22" s="607" t="s">
        <v>902</v>
      </c>
      <c r="D22" s="608" t="s">
        <v>903</v>
      </c>
      <c r="E22" s="608" t="s">
        <v>904</v>
      </c>
      <c r="F22" s="608" t="s">
        <v>905</v>
      </c>
      <c r="G22" s="608" t="s">
        <v>906</v>
      </c>
      <c r="H22" s="608" t="s">
        <v>907</v>
      </c>
      <c r="I22" s="609" t="s">
        <v>908</v>
      </c>
      <c r="J22" s="610"/>
      <c r="K22" s="606" t="s">
        <v>901</v>
      </c>
      <c r="L22" s="607" t="s">
        <v>902</v>
      </c>
      <c r="M22" s="608" t="s">
        <v>903</v>
      </c>
      <c r="N22" s="608" t="s">
        <v>904</v>
      </c>
      <c r="O22" s="608" t="s">
        <v>905</v>
      </c>
      <c r="P22" s="608" t="s">
        <v>906</v>
      </c>
      <c r="Q22" s="608" t="s">
        <v>907</v>
      </c>
      <c r="R22" s="609" t="s">
        <v>908</v>
      </c>
      <c r="S22" s="610"/>
      <c r="T22" s="606" t="s">
        <v>901</v>
      </c>
      <c r="U22" s="607" t="s">
        <v>902</v>
      </c>
      <c r="V22" s="608" t="s">
        <v>903</v>
      </c>
      <c r="W22" s="608" t="s">
        <v>904</v>
      </c>
      <c r="X22" s="608" t="s">
        <v>905</v>
      </c>
      <c r="Y22" s="608" t="s">
        <v>906</v>
      </c>
      <c r="Z22" s="608" t="s">
        <v>907</v>
      </c>
      <c r="AA22" s="609" t="s">
        <v>908</v>
      </c>
      <c r="AB22" s="593"/>
    </row>
    <row r="23" spans="1:28" ht="18" customHeight="1">
      <c r="A23" s="611"/>
      <c r="B23" s="612">
        <v>1</v>
      </c>
      <c r="C23" s="613">
        <f>IF($C$3=1,1,0)</f>
        <v>0</v>
      </c>
      <c r="D23" s="614">
        <f>IF($D$3=1,1,IF(C23&gt;0,C23+1,0))</f>
        <v>0</v>
      </c>
      <c r="E23" s="614">
        <f>IF($E$3=1,1,IF(D23&gt;0,D23+1,0))</f>
        <v>0</v>
      </c>
      <c r="F23" s="614">
        <f>IF($F$3=1,1,IF(E23&gt;0,E23+1,0))</f>
        <v>0</v>
      </c>
      <c r="G23" s="614">
        <f>IF($G$3=1,1,IF(F23&gt;0,F23+1,0))</f>
        <v>1</v>
      </c>
      <c r="H23" s="614">
        <f>IF($H$3=1,1,IF(G23&gt;0,G23+1,0))</f>
        <v>2</v>
      </c>
      <c r="I23" s="615">
        <f>IF($I$3=1,1,IF(H23&gt;0,H23+1,0))</f>
        <v>3</v>
      </c>
      <c r="J23" s="616"/>
      <c r="K23" s="617">
        <f>IF(B28&gt;0,B27+1,B27)</f>
        <v>5</v>
      </c>
      <c r="L23" s="613">
        <f>IF($L$3=1,1,0)</f>
        <v>1</v>
      </c>
      <c r="M23" s="614">
        <f>IF($M$3=1,1,IF(L23&gt;0,L23+1,0))</f>
        <v>2</v>
      </c>
      <c r="N23" s="614">
        <f>IF($N$3=1,1,IF(M23&gt;0,M23+1,0))</f>
        <v>3</v>
      </c>
      <c r="O23" s="614">
        <f>IF($O$3=1,1,IF(N23&gt;0,N23+1,0))</f>
        <v>4</v>
      </c>
      <c r="P23" s="614">
        <f>IF($P$3=1,1,IF(O23&gt;0,O23+1,0))</f>
        <v>5</v>
      </c>
      <c r="Q23" s="614">
        <f>IF($Q$3=1,1,IF(P23&gt;0,P23+1,0))</f>
        <v>6</v>
      </c>
      <c r="R23" s="615">
        <f>IF($R$3=1,1,IF(Q23&gt;0,Q23+1,0))</f>
        <v>7</v>
      </c>
      <c r="S23" s="616"/>
      <c r="T23" s="617">
        <f>IF(K28&gt;0,K27+1,K27)</f>
        <v>9</v>
      </c>
      <c r="U23" s="613">
        <f>IF($U$3=1,1,0)</f>
        <v>1</v>
      </c>
      <c r="V23" s="614">
        <f>IF($V$3=1,1,IF(U23&gt;0,U23+1,0))</f>
        <v>2</v>
      </c>
      <c r="W23" s="614">
        <f>IF($W$3=1,1,IF(V23&gt;0,V23+1,0))</f>
        <v>3</v>
      </c>
      <c r="X23" s="614">
        <f>IF($X$3=1,1,IF(W23&gt;0,W23+1,0))</f>
        <v>4</v>
      </c>
      <c r="Y23" s="614">
        <f>IF($Y$3=1,1,IF(X23&gt;0,X23+1,0))</f>
        <v>5</v>
      </c>
      <c r="Z23" s="614">
        <f>IF($Z$3=1,1,IF(Y23&gt;0,Y23+1,0))</f>
        <v>6</v>
      </c>
      <c r="AA23" s="615">
        <f>IF($AA$3=1,1,IF(Z23&gt;0,Z23+1,0))</f>
        <v>7</v>
      </c>
      <c r="AB23" s="593"/>
    </row>
    <row r="24" spans="1:28" ht="18" customHeight="1">
      <c r="A24" s="611"/>
      <c r="B24" s="618">
        <f>B23+1</f>
        <v>2</v>
      </c>
      <c r="C24" s="619">
        <f>IF(AND(I23&gt;0,I23&lt;31),I23+1,0)</f>
        <v>4</v>
      </c>
      <c r="D24" s="620">
        <f aca="true" t="shared" si="0" ref="D24:I28">IF(AND(C24&gt;0,C24&lt;31),C24+1,0)</f>
        <v>5</v>
      </c>
      <c r="E24" s="620">
        <f t="shared" si="0"/>
        <v>6</v>
      </c>
      <c r="F24" s="620">
        <f t="shared" si="0"/>
        <v>7</v>
      </c>
      <c r="G24" s="620">
        <f t="shared" si="0"/>
        <v>8</v>
      </c>
      <c r="H24" s="620">
        <f t="shared" si="0"/>
        <v>9</v>
      </c>
      <c r="I24" s="621">
        <f t="shared" si="0"/>
        <v>10</v>
      </c>
      <c r="J24" s="616"/>
      <c r="K24" s="617">
        <f>K23+1</f>
        <v>6</v>
      </c>
      <c r="L24" s="619">
        <f>IF(AND(R23&gt;0,R23&lt;$L$2),R23+1,0)</f>
        <v>8</v>
      </c>
      <c r="M24" s="620">
        <f aca="true" t="shared" si="1" ref="M24:R28">IF(AND(L24&gt;0,L24&lt;$L$2),L24+1,0)</f>
        <v>9</v>
      </c>
      <c r="N24" s="620">
        <f t="shared" si="1"/>
        <v>10</v>
      </c>
      <c r="O24" s="620">
        <f t="shared" si="1"/>
        <v>11</v>
      </c>
      <c r="P24" s="620">
        <f t="shared" si="1"/>
        <v>12</v>
      </c>
      <c r="Q24" s="620">
        <f t="shared" si="1"/>
        <v>13</v>
      </c>
      <c r="R24" s="621">
        <f t="shared" si="1"/>
        <v>14</v>
      </c>
      <c r="S24" s="616"/>
      <c r="T24" s="617">
        <f>T23+1</f>
        <v>10</v>
      </c>
      <c r="U24" s="619">
        <f>IF(AND(AA23&gt;0,AA23&lt;31),AA23+1,0)</f>
        <v>8</v>
      </c>
      <c r="V24" s="620">
        <f aca="true" t="shared" si="2" ref="V24:AA28">IF(AND(U24&gt;0,U24&lt;31),U24+1,0)</f>
        <v>9</v>
      </c>
      <c r="W24" s="620">
        <f t="shared" si="2"/>
        <v>10</v>
      </c>
      <c r="X24" s="620">
        <f t="shared" si="2"/>
        <v>11</v>
      </c>
      <c r="Y24" s="620">
        <f t="shared" si="2"/>
        <v>12</v>
      </c>
      <c r="Z24" s="620">
        <f t="shared" si="2"/>
        <v>13</v>
      </c>
      <c r="AA24" s="621">
        <f t="shared" si="2"/>
        <v>14</v>
      </c>
      <c r="AB24" s="593"/>
    </row>
    <row r="25" spans="1:28" ht="18" customHeight="1">
      <c r="A25" s="611"/>
      <c r="B25" s="618">
        <f>B24+1</f>
        <v>3</v>
      </c>
      <c r="C25" s="619">
        <f>IF(AND(I24&gt;0,I24&lt;31),I24+1,0)</f>
        <v>11</v>
      </c>
      <c r="D25" s="620">
        <f t="shared" si="0"/>
        <v>12</v>
      </c>
      <c r="E25" s="620">
        <f t="shared" si="0"/>
        <v>13</v>
      </c>
      <c r="F25" s="620">
        <f t="shared" si="0"/>
        <v>14</v>
      </c>
      <c r="G25" s="620">
        <f t="shared" si="0"/>
        <v>15</v>
      </c>
      <c r="H25" s="620">
        <f t="shared" si="0"/>
        <v>16</v>
      </c>
      <c r="I25" s="621">
        <f t="shared" si="0"/>
        <v>17</v>
      </c>
      <c r="J25" s="616"/>
      <c r="K25" s="617">
        <f>K24+1</f>
        <v>7</v>
      </c>
      <c r="L25" s="619">
        <f>IF(AND(R24&gt;0,R24&lt;$L$2),R24+1,0)</f>
        <v>15</v>
      </c>
      <c r="M25" s="620">
        <f t="shared" si="1"/>
        <v>16</v>
      </c>
      <c r="N25" s="620">
        <f t="shared" si="1"/>
        <v>17</v>
      </c>
      <c r="O25" s="620">
        <f t="shared" si="1"/>
        <v>18</v>
      </c>
      <c r="P25" s="620">
        <f t="shared" si="1"/>
        <v>19</v>
      </c>
      <c r="Q25" s="620">
        <f t="shared" si="1"/>
        <v>20</v>
      </c>
      <c r="R25" s="621">
        <f t="shared" si="1"/>
        <v>21</v>
      </c>
      <c r="S25" s="616"/>
      <c r="T25" s="617">
        <f>T24+1</f>
        <v>11</v>
      </c>
      <c r="U25" s="619">
        <f>IF(AND(AA24&gt;0,AA24&lt;31),AA24+1,0)</f>
        <v>15</v>
      </c>
      <c r="V25" s="620">
        <f t="shared" si="2"/>
        <v>16</v>
      </c>
      <c r="W25" s="620">
        <f t="shared" si="2"/>
        <v>17</v>
      </c>
      <c r="X25" s="620">
        <f t="shared" si="2"/>
        <v>18</v>
      </c>
      <c r="Y25" s="620">
        <f t="shared" si="2"/>
        <v>19</v>
      </c>
      <c r="Z25" s="620">
        <f t="shared" si="2"/>
        <v>20</v>
      </c>
      <c r="AA25" s="621">
        <f t="shared" si="2"/>
        <v>21</v>
      </c>
      <c r="AB25" s="593"/>
    </row>
    <row r="26" spans="1:28" ht="18" customHeight="1">
      <c r="A26" s="611"/>
      <c r="B26" s="618">
        <f>B25+1</f>
        <v>4</v>
      </c>
      <c r="C26" s="619">
        <f>IF(AND(I25&gt;0,I25&lt;31),I25+1,0)</f>
        <v>18</v>
      </c>
      <c r="D26" s="620">
        <f t="shared" si="0"/>
        <v>19</v>
      </c>
      <c r="E26" s="620">
        <f t="shared" si="0"/>
        <v>20</v>
      </c>
      <c r="F26" s="620">
        <f t="shared" si="0"/>
        <v>21</v>
      </c>
      <c r="G26" s="620">
        <f t="shared" si="0"/>
        <v>22</v>
      </c>
      <c r="H26" s="620">
        <f t="shared" si="0"/>
        <v>23</v>
      </c>
      <c r="I26" s="621">
        <f t="shared" si="0"/>
        <v>24</v>
      </c>
      <c r="J26" s="616"/>
      <c r="K26" s="617">
        <f>K25+1</f>
        <v>8</v>
      </c>
      <c r="L26" s="619">
        <f>IF(AND(R25&gt;0,R25&lt;$L$2),R25+1,0)</f>
        <v>22</v>
      </c>
      <c r="M26" s="620">
        <f t="shared" si="1"/>
        <v>23</v>
      </c>
      <c r="N26" s="620">
        <f t="shared" si="1"/>
        <v>24</v>
      </c>
      <c r="O26" s="620">
        <f t="shared" si="1"/>
        <v>25</v>
      </c>
      <c r="P26" s="620">
        <f t="shared" si="1"/>
        <v>26</v>
      </c>
      <c r="Q26" s="620">
        <f t="shared" si="1"/>
        <v>27</v>
      </c>
      <c r="R26" s="621">
        <f t="shared" si="1"/>
        <v>28</v>
      </c>
      <c r="S26" s="616"/>
      <c r="T26" s="617">
        <f>T25+1</f>
        <v>12</v>
      </c>
      <c r="U26" s="619">
        <f>IF(AND(AA25&gt;0,AA25&lt;31),AA25+1,0)</f>
        <v>22</v>
      </c>
      <c r="V26" s="620">
        <f t="shared" si="2"/>
        <v>23</v>
      </c>
      <c r="W26" s="620">
        <f t="shared" si="2"/>
        <v>24</v>
      </c>
      <c r="X26" s="620">
        <f t="shared" si="2"/>
        <v>25</v>
      </c>
      <c r="Y26" s="620">
        <f t="shared" si="2"/>
        <v>26</v>
      </c>
      <c r="Z26" s="620">
        <f t="shared" si="2"/>
        <v>27</v>
      </c>
      <c r="AA26" s="621">
        <f t="shared" si="2"/>
        <v>28</v>
      </c>
      <c r="AB26" s="593"/>
    </row>
    <row r="27" spans="1:28" ht="18" customHeight="1">
      <c r="A27" s="611"/>
      <c r="B27" s="618">
        <f>B26+1</f>
        <v>5</v>
      </c>
      <c r="C27" s="619">
        <f>IF(AND(I26&gt;0,I26&lt;31),I26+1,0)</f>
        <v>25</v>
      </c>
      <c r="D27" s="620">
        <f t="shared" si="0"/>
        <v>26</v>
      </c>
      <c r="E27" s="620">
        <f t="shared" si="0"/>
        <v>27</v>
      </c>
      <c r="F27" s="620">
        <f t="shared" si="0"/>
        <v>28</v>
      </c>
      <c r="G27" s="620">
        <f t="shared" si="0"/>
        <v>29</v>
      </c>
      <c r="H27" s="620">
        <f t="shared" si="0"/>
        <v>30</v>
      </c>
      <c r="I27" s="621">
        <f t="shared" si="0"/>
        <v>31</v>
      </c>
      <c r="J27" s="616"/>
      <c r="K27" s="617">
        <f>K26+1</f>
        <v>9</v>
      </c>
      <c r="L27" s="619">
        <f>IF(AND(R26&gt;0,R26&lt;$L$2),R26+1,0)</f>
        <v>0</v>
      </c>
      <c r="M27" s="620">
        <f t="shared" si="1"/>
        <v>0</v>
      </c>
      <c r="N27" s="620">
        <f t="shared" si="1"/>
        <v>0</v>
      </c>
      <c r="O27" s="620">
        <f t="shared" si="1"/>
        <v>0</v>
      </c>
      <c r="P27" s="620">
        <f t="shared" si="1"/>
        <v>0</v>
      </c>
      <c r="Q27" s="620">
        <f t="shared" si="1"/>
        <v>0</v>
      </c>
      <c r="R27" s="621">
        <f t="shared" si="1"/>
        <v>0</v>
      </c>
      <c r="S27" s="616"/>
      <c r="T27" s="617">
        <f>T26+1</f>
        <v>13</v>
      </c>
      <c r="U27" s="619">
        <f>IF(AND(AA26&gt;0,AA26&lt;31),AA26+1,0)</f>
        <v>29</v>
      </c>
      <c r="V27" s="620">
        <f t="shared" si="2"/>
        <v>30</v>
      </c>
      <c r="W27" s="620">
        <f t="shared" si="2"/>
        <v>31</v>
      </c>
      <c r="X27" s="620">
        <f t="shared" si="2"/>
        <v>0</v>
      </c>
      <c r="Y27" s="620">
        <f t="shared" si="2"/>
        <v>0</v>
      </c>
      <c r="Z27" s="622">
        <f t="shared" si="2"/>
        <v>0</v>
      </c>
      <c r="AA27" s="621">
        <f t="shared" si="2"/>
        <v>0</v>
      </c>
      <c r="AB27" s="593"/>
    </row>
    <row r="28" spans="1:28" ht="18" customHeight="1" thickBot="1">
      <c r="A28" s="611"/>
      <c r="B28" s="623">
        <f>IF(C28=0,0,B27+1)</f>
        <v>0</v>
      </c>
      <c r="C28" s="624">
        <f>IF(AND(I27&gt;0,I27&lt;31),I27+1,0)</f>
        <v>0</v>
      </c>
      <c r="D28" s="625">
        <f t="shared" si="0"/>
        <v>0</v>
      </c>
      <c r="E28" s="625">
        <f t="shared" si="0"/>
        <v>0</v>
      </c>
      <c r="F28" s="625">
        <f t="shared" si="0"/>
        <v>0</v>
      </c>
      <c r="G28" s="625">
        <f t="shared" si="0"/>
        <v>0</v>
      </c>
      <c r="H28" s="625">
        <f t="shared" si="0"/>
        <v>0</v>
      </c>
      <c r="I28" s="626">
        <f t="shared" si="0"/>
        <v>0</v>
      </c>
      <c r="J28" s="616"/>
      <c r="K28" s="627">
        <f>IF(L28=0,0,K27+1)</f>
        <v>0</v>
      </c>
      <c r="L28" s="628">
        <f>IF(AND(R27&gt;0,R27&lt;$L$2),R27+1,0)</f>
        <v>0</v>
      </c>
      <c r="M28" s="625">
        <f t="shared" si="1"/>
        <v>0</v>
      </c>
      <c r="N28" s="625">
        <f t="shared" si="1"/>
        <v>0</v>
      </c>
      <c r="O28" s="625">
        <f t="shared" si="1"/>
        <v>0</v>
      </c>
      <c r="P28" s="625">
        <f t="shared" si="1"/>
        <v>0</v>
      </c>
      <c r="Q28" s="625">
        <f t="shared" si="1"/>
        <v>0</v>
      </c>
      <c r="R28" s="626">
        <f t="shared" si="1"/>
        <v>0</v>
      </c>
      <c r="S28" s="616"/>
      <c r="T28" s="627">
        <f>IF(U28=0,0,T27+1)</f>
        <v>0</v>
      </c>
      <c r="U28" s="628">
        <f>IF(AND(AA27&gt;0,AA27&lt;31),AA27+1,0)</f>
        <v>0</v>
      </c>
      <c r="V28" s="625">
        <f t="shared" si="2"/>
        <v>0</v>
      </c>
      <c r="W28" s="625">
        <f t="shared" si="2"/>
        <v>0</v>
      </c>
      <c r="X28" s="625">
        <f t="shared" si="2"/>
        <v>0</v>
      </c>
      <c r="Y28" s="625">
        <f t="shared" si="2"/>
        <v>0</v>
      </c>
      <c r="Z28" s="625">
        <f t="shared" si="2"/>
        <v>0</v>
      </c>
      <c r="AA28" s="626">
        <f t="shared" si="2"/>
        <v>0</v>
      </c>
      <c r="AB28" s="593"/>
    </row>
    <row r="29" spans="1:28" ht="18" customHeight="1">
      <c r="A29" s="611"/>
      <c r="B29" s="629"/>
      <c r="C29" s="630"/>
      <c r="D29" s="592"/>
      <c r="E29" s="592"/>
      <c r="F29" s="592"/>
      <c r="G29" s="592"/>
      <c r="H29" s="631"/>
      <c r="I29" s="630"/>
      <c r="J29" s="616"/>
      <c r="K29" s="629"/>
      <c r="L29" s="630"/>
      <c r="M29" s="592"/>
      <c r="N29" s="592"/>
      <c r="O29" s="592"/>
      <c r="P29" s="592"/>
      <c r="Q29" s="631"/>
      <c r="R29" s="630"/>
      <c r="S29" s="616"/>
      <c r="T29" s="629"/>
      <c r="U29" s="630"/>
      <c r="V29" s="592"/>
      <c r="W29" s="592"/>
      <c r="X29" s="592"/>
      <c r="Y29" s="592"/>
      <c r="Z29" s="631"/>
      <c r="AA29" s="630"/>
      <c r="AB29" s="593"/>
    </row>
    <row r="30" spans="1:28" ht="18" customHeight="1">
      <c r="A30" s="611"/>
      <c r="B30" s="629"/>
      <c r="C30" s="630"/>
      <c r="D30" s="592"/>
      <c r="E30" s="592"/>
      <c r="F30" s="592"/>
      <c r="G30" s="592"/>
      <c r="H30" s="631"/>
      <c r="I30" s="630"/>
      <c r="J30" s="616"/>
      <c r="K30" s="629"/>
      <c r="L30" s="630"/>
      <c r="M30" s="592"/>
      <c r="N30" s="592"/>
      <c r="O30" s="592"/>
      <c r="P30" s="592"/>
      <c r="Q30" s="631"/>
      <c r="R30" s="630"/>
      <c r="S30" s="616"/>
      <c r="T30" s="629"/>
      <c r="U30" s="630"/>
      <c r="V30" s="592"/>
      <c r="W30" s="592"/>
      <c r="X30" s="592"/>
      <c r="Y30" s="592"/>
      <c r="Z30" s="631"/>
      <c r="AA30" s="630"/>
      <c r="AB30" s="593"/>
    </row>
    <row r="31" spans="1:28" ht="18" customHeight="1">
      <c r="A31" s="611"/>
      <c r="B31" s="629"/>
      <c r="C31" s="630"/>
      <c r="D31" s="592"/>
      <c r="E31" s="592"/>
      <c r="F31" s="592"/>
      <c r="G31" s="600"/>
      <c r="H31" s="631"/>
      <c r="I31" s="630"/>
      <c r="J31" s="616"/>
      <c r="K31" s="600"/>
      <c r="L31" s="630"/>
      <c r="M31" s="592"/>
      <c r="N31" s="600"/>
      <c r="O31" s="592"/>
      <c r="P31" s="592"/>
      <c r="Q31" s="631"/>
      <c r="R31" s="630"/>
      <c r="S31" s="616"/>
      <c r="T31" s="629"/>
      <c r="U31" s="630"/>
      <c r="V31" s="592"/>
      <c r="W31" s="592"/>
      <c r="X31" s="592"/>
      <c r="Y31" s="592"/>
      <c r="Z31" s="631"/>
      <c r="AA31" s="630"/>
      <c r="AB31" s="593"/>
    </row>
    <row r="32" spans="1:28" ht="18" customHeight="1">
      <c r="A32" s="611"/>
      <c r="B32" s="629"/>
      <c r="C32" s="630"/>
      <c r="D32" s="592"/>
      <c r="E32" s="592"/>
      <c r="F32" s="592"/>
      <c r="G32" s="592"/>
      <c r="H32" s="631"/>
      <c r="I32" s="630"/>
      <c r="J32" s="616"/>
      <c r="K32" s="629"/>
      <c r="L32" s="630"/>
      <c r="M32" s="592"/>
      <c r="N32" s="592"/>
      <c r="O32" s="592"/>
      <c r="P32" s="592"/>
      <c r="Q32" s="631"/>
      <c r="R32" s="630"/>
      <c r="S32" s="616"/>
      <c r="T32" s="629"/>
      <c r="U32" s="630"/>
      <c r="V32" s="592"/>
      <c r="W32" s="592"/>
      <c r="X32" s="592"/>
      <c r="Y32" s="592"/>
      <c r="Z32" s="631"/>
      <c r="AA32" s="630"/>
      <c r="AB32" s="593"/>
    </row>
    <row r="33" spans="1:28" ht="18" customHeight="1">
      <c r="A33" s="611"/>
      <c r="B33" s="629"/>
      <c r="C33" s="630"/>
      <c r="D33" s="592"/>
      <c r="E33" s="592"/>
      <c r="F33" s="592"/>
      <c r="G33" s="592"/>
      <c r="H33" s="631"/>
      <c r="I33" s="630"/>
      <c r="J33" s="616"/>
      <c r="K33" s="629"/>
      <c r="L33" s="630"/>
      <c r="M33" s="592"/>
      <c r="N33" s="592"/>
      <c r="O33" s="592"/>
      <c r="P33" s="592"/>
      <c r="Q33" s="631"/>
      <c r="R33" s="630"/>
      <c r="S33" s="616"/>
      <c r="T33" s="629"/>
      <c r="U33" s="630"/>
      <c r="V33" s="592"/>
      <c r="W33" s="592"/>
      <c r="X33" s="592"/>
      <c r="Y33" s="592"/>
      <c r="Z33" s="631"/>
      <c r="AA33" s="630"/>
      <c r="AB33" s="593"/>
    </row>
    <row r="34" spans="1:28" ht="18" customHeight="1">
      <c r="A34" s="611"/>
      <c r="B34" s="616"/>
      <c r="C34" s="592"/>
      <c r="D34" s="592"/>
      <c r="E34" s="592"/>
      <c r="F34" s="592"/>
      <c r="G34" s="592"/>
      <c r="H34" s="592"/>
      <c r="I34" s="592"/>
      <c r="J34" s="616"/>
      <c r="K34" s="616"/>
      <c r="L34" s="592"/>
      <c r="M34" s="592"/>
      <c r="N34" s="592"/>
      <c r="O34" s="592"/>
      <c r="P34" s="592"/>
      <c r="Q34" s="592"/>
      <c r="R34" s="592"/>
      <c r="S34" s="616"/>
      <c r="T34" s="616"/>
      <c r="U34" s="592"/>
      <c r="V34" s="592"/>
      <c r="W34" s="592"/>
      <c r="X34" s="592"/>
      <c r="Y34" s="592"/>
      <c r="Z34" s="592"/>
      <c r="AA34" s="592"/>
      <c r="AB34" s="593"/>
    </row>
    <row r="35" spans="1:28" s="604" customFormat="1" ht="18" customHeight="1" thickBot="1">
      <c r="A35" s="601"/>
      <c r="B35" s="652" t="s">
        <v>909</v>
      </c>
      <c r="C35" s="652"/>
      <c r="D35" s="652"/>
      <c r="E35" s="652"/>
      <c r="F35" s="652"/>
      <c r="G35" s="652"/>
      <c r="H35" s="652"/>
      <c r="I35" s="652"/>
      <c r="J35" s="602"/>
      <c r="K35" s="655" t="s">
        <v>910</v>
      </c>
      <c r="L35" s="655"/>
      <c r="M35" s="655"/>
      <c r="N35" s="655"/>
      <c r="O35" s="655"/>
      <c r="P35" s="655"/>
      <c r="Q35" s="655"/>
      <c r="R35" s="655"/>
      <c r="S35" s="602"/>
      <c r="T35" s="653" t="s">
        <v>911</v>
      </c>
      <c r="U35" s="653"/>
      <c r="V35" s="653"/>
      <c r="W35" s="653"/>
      <c r="X35" s="653"/>
      <c r="Y35" s="653"/>
      <c r="Z35" s="653"/>
      <c r="AA35" s="653"/>
      <c r="AB35" s="603"/>
    </row>
    <row r="36" spans="1:28" ht="18" customHeight="1">
      <c r="A36" s="611"/>
      <c r="B36" s="606" t="s">
        <v>901</v>
      </c>
      <c r="C36" s="607" t="s">
        <v>902</v>
      </c>
      <c r="D36" s="608" t="s">
        <v>903</v>
      </c>
      <c r="E36" s="608" t="s">
        <v>904</v>
      </c>
      <c r="F36" s="608" t="s">
        <v>905</v>
      </c>
      <c r="G36" s="608" t="s">
        <v>906</v>
      </c>
      <c r="H36" s="608" t="s">
        <v>907</v>
      </c>
      <c r="I36" s="609" t="s">
        <v>908</v>
      </c>
      <c r="J36" s="610"/>
      <c r="K36" s="606" t="s">
        <v>901</v>
      </c>
      <c r="L36" s="607" t="s">
        <v>902</v>
      </c>
      <c r="M36" s="608" t="s">
        <v>903</v>
      </c>
      <c r="N36" s="608" t="s">
        <v>904</v>
      </c>
      <c r="O36" s="608" t="s">
        <v>905</v>
      </c>
      <c r="P36" s="608" t="s">
        <v>906</v>
      </c>
      <c r="Q36" s="608" t="s">
        <v>907</v>
      </c>
      <c r="R36" s="609" t="s">
        <v>908</v>
      </c>
      <c r="S36" s="610"/>
      <c r="T36" s="606" t="s">
        <v>901</v>
      </c>
      <c r="U36" s="607" t="s">
        <v>902</v>
      </c>
      <c r="V36" s="608" t="s">
        <v>903</v>
      </c>
      <c r="W36" s="608" t="s">
        <v>904</v>
      </c>
      <c r="X36" s="608" t="s">
        <v>905</v>
      </c>
      <c r="Y36" s="608" t="s">
        <v>906</v>
      </c>
      <c r="Z36" s="608" t="s">
        <v>907</v>
      </c>
      <c r="AA36" s="609" t="s">
        <v>908</v>
      </c>
      <c r="AB36" s="593"/>
    </row>
    <row r="37" spans="1:28" ht="18" customHeight="1">
      <c r="A37" s="611"/>
      <c r="B37" s="632">
        <f>IF(T28&gt;0,T28,T27+1)</f>
        <v>14</v>
      </c>
      <c r="C37" s="613">
        <f>IF($C$4=1,1,0)</f>
        <v>0</v>
      </c>
      <c r="D37" s="614">
        <f>IF($D$4=1,1,IF(C37&gt;0,C37+1,0))</f>
        <v>0</v>
      </c>
      <c r="E37" s="614">
        <f>IF($E$4=1,1,IF(D37&gt;0,D37+1,0))</f>
        <v>0</v>
      </c>
      <c r="F37" s="614">
        <f>IF($F$4=1,1,IF(E37&gt;0,E37+1,0))</f>
        <v>1</v>
      </c>
      <c r="G37" s="614">
        <f>IF($G$4=1,1,IF(F37&gt;0,F37+1,0))</f>
        <v>2</v>
      </c>
      <c r="H37" s="614">
        <f>IF($H$4=1,1,IF(G37&gt;0,G37+1,0))</f>
        <v>3</v>
      </c>
      <c r="I37" s="615">
        <f>IF($I$4=1,1,IF(H37&gt;0,H37+1,0))</f>
        <v>4</v>
      </c>
      <c r="J37" s="616"/>
      <c r="K37" s="617">
        <f>IF(B42&gt;0,B41+1,B41)</f>
        <v>18</v>
      </c>
      <c r="L37" s="613">
        <f>IF($L$4=1,1,0)</f>
        <v>0</v>
      </c>
      <c r="M37" s="614">
        <f>IF($M$4=1,1,IF(L37&gt;0,L37+1,0))</f>
        <v>0</v>
      </c>
      <c r="N37" s="614">
        <f>IF($N$4=1,1,IF(M37&gt;0,M37+1,0))</f>
        <v>0</v>
      </c>
      <c r="O37" s="614">
        <f>IF($O$4=1,1,IF(N37&gt;0,N37+1,0))</f>
        <v>0</v>
      </c>
      <c r="P37" s="614">
        <f>IF($P$4=1,1,IF(O37&gt;0,O37+1,0))</f>
        <v>0</v>
      </c>
      <c r="Q37" s="614">
        <f>IF($Q$4=1,1,IF(P37&gt;0,P37+1,0))</f>
        <v>1</v>
      </c>
      <c r="R37" s="615">
        <f>IF($R$4=1,1,IF(Q37&gt;0,Q37+1,0))</f>
        <v>2</v>
      </c>
      <c r="S37" s="616"/>
      <c r="T37" s="617">
        <f>IF(K42&gt;0,K41+1,K41)</f>
        <v>23</v>
      </c>
      <c r="U37" s="613">
        <f>IF($U$4=1,1,0)</f>
        <v>0</v>
      </c>
      <c r="V37" s="614">
        <f>IF($V$4=1,1,IF(U37&gt;0,U37+1,0))</f>
        <v>1</v>
      </c>
      <c r="W37" s="614">
        <f>IF($W$4=1,1,IF(V37&gt;0,V37+1,0))</f>
        <v>2</v>
      </c>
      <c r="X37" s="614">
        <f>IF($X$4=1,1,IF(W37&gt;0,W37+1,0))</f>
        <v>3</v>
      </c>
      <c r="Y37" s="614">
        <f>IF($Y$4=1,1,IF(X37&gt;0,X37+1,0))</f>
        <v>4</v>
      </c>
      <c r="Z37" s="614">
        <f>IF($Z$4=1,1,IF(Y37&gt;0,Y37+1,0))</f>
        <v>5</v>
      </c>
      <c r="AA37" s="615">
        <f>IF($AA$4=1,1,IF(Z37&gt;0,Z37+1,0))</f>
        <v>6</v>
      </c>
      <c r="AB37" s="593"/>
    </row>
    <row r="38" spans="1:28" ht="18" customHeight="1">
      <c r="A38" s="611"/>
      <c r="B38" s="617">
        <f>B37+1</f>
        <v>15</v>
      </c>
      <c r="C38" s="619">
        <f>IF(AND(I37&gt;0,I37&lt;30),I37+1,0)</f>
        <v>5</v>
      </c>
      <c r="D38" s="620">
        <f aca="true" t="shared" si="3" ref="D38:I42">IF(AND(C38&gt;0,C38&lt;30),C38+1,0)</f>
        <v>6</v>
      </c>
      <c r="E38" s="620">
        <f t="shared" si="3"/>
        <v>7</v>
      </c>
      <c r="F38" s="620">
        <f t="shared" si="3"/>
        <v>8</v>
      </c>
      <c r="G38" s="620">
        <f t="shared" si="3"/>
        <v>9</v>
      </c>
      <c r="H38" s="620">
        <f t="shared" si="3"/>
        <v>10</v>
      </c>
      <c r="I38" s="621">
        <f t="shared" si="3"/>
        <v>11</v>
      </c>
      <c r="J38" s="616"/>
      <c r="K38" s="617">
        <f>K37+1</f>
        <v>19</v>
      </c>
      <c r="L38" s="619">
        <f>IF(AND(R37&gt;0,R37&lt;31),R37+1,0)</f>
        <v>3</v>
      </c>
      <c r="M38" s="620">
        <f aca="true" t="shared" si="4" ref="M38:R42">IF(AND(L38&gt;0,L38&lt;31),L38+1,0)</f>
        <v>4</v>
      </c>
      <c r="N38" s="620">
        <f t="shared" si="4"/>
        <v>5</v>
      </c>
      <c r="O38" s="620">
        <f t="shared" si="4"/>
        <v>6</v>
      </c>
      <c r="P38" s="620">
        <f t="shared" si="4"/>
        <v>7</v>
      </c>
      <c r="Q38" s="620">
        <f t="shared" si="4"/>
        <v>8</v>
      </c>
      <c r="R38" s="621">
        <f t="shared" si="4"/>
        <v>9</v>
      </c>
      <c r="S38" s="616"/>
      <c r="T38" s="617">
        <f>T37+1</f>
        <v>24</v>
      </c>
      <c r="U38" s="619">
        <f>IF(AND(AA37&gt;0,AA37&lt;30),AA37+1,0)</f>
        <v>7</v>
      </c>
      <c r="V38" s="620">
        <f aca="true" t="shared" si="5" ref="V38:AA42">IF(AND(U38&gt;0,U38&lt;30),U38+1,0)</f>
        <v>8</v>
      </c>
      <c r="W38" s="620">
        <f t="shared" si="5"/>
        <v>9</v>
      </c>
      <c r="X38" s="620">
        <f t="shared" si="5"/>
        <v>10</v>
      </c>
      <c r="Y38" s="620">
        <f t="shared" si="5"/>
        <v>11</v>
      </c>
      <c r="Z38" s="620">
        <f t="shared" si="5"/>
        <v>12</v>
      </c>
      <c r="AA38" s="621">
        <f t="shared" si="5"/>
        <v>13</v>
      </c>
      <c r="AB38" s="593"/>
    </row>
    <row r="39" spans="1:28" ht="18" customHeight="1">
      <c r="A39" s="611"/>
      <c r="B39" s="617">
        <f>B38+1</f>
        <v>16</v>
      </c>
      <c r="C39" s="619">
        <f>IF(AND(I38&gt;0,I38&lt;30),I38+1,0)</f>
        <v>12</v>
      </c>
      <c r="D39" s="620">
        <f t="shared" si="3"/>
        <v>13</v>
      </c>
      <c r="E39" s="620">
        <f t="shared" si="3"/>
        <v>14</v>
      </c>
      <c r="F39" s="620">
        <f t="shared" si="3"/>
        <v>15</v>
      </c>
      <c r="G39" s="620">
        <f t="shared" si="3"/>
        <v>16</v>
      </c>
      <c r="H39" s="620">
        <f t="shared" si="3"/>
        <v>17</v>
      </c>
      <c r="I39" s="621">
        <f t="shared" si="3"/>
        <v>18</v>
      </c>
      <c r="J39" s="616"/>
      <c r="K39" s="617">
        <f>K38+1</f>
        <v>20</v>
      </c>
      <c r="L39" s="619">
        <f>IF(AND(R38&gt;0,R38&lt;31),R38+1,0)</f>
        <v>10</v>
      </c>
      <c r="M39" s="620">
        <f t="shared" si="4"/>
        <v>11</v>
      </c>
      <c r="N39" s="620">
        <f t="shared" si="4"/>
        <v>12</v>
      </c>
      <c r="O39" s="620">
        <f t="shared" si="4"/>
        <v>13</v>
      </c>
      <c r="P39" s="620">
        <f t="shared" si="4"/>
        <v>14</v>
      </c>
      <c r="Q39" s="620">
        <f t="shared" si="4"/>
        <v>15</v>
      </c>
      <c r="R39" s="621">
        <f t="shared" si="4"/>
        <v>16</v>
      </c>
      <c r="S39" s="616"/>
      <c r="T39" s="617">
        <f>T38+1</f>
        <v>25</v>
      </c>
      <c r="U39" s="619">
        <f>IF(AND(AA38&gt;0,AA38&lt;30),AA38+1,0)</f>
        <v>14</v>
      </c>
      <c r="V39" s="620">
        <f t="shared" si="5"/>
        <v>15</v>
      </c>
      <c r="W39" s="620">
        <f t="shared" si="5"/>
        <v>16</v>
      </c>
      <c r="X39" s="620">
        <f t="shared" si="5"/>
        <v>17</v>
      </c>
      <c r="Y39" s="620">
        <f t="shared" si="5"/>
        <v>18</v>
      </c>
      <c r="Z39" s="620">
        <f t="shared" si="5"/>
        <v>19</v>
      </c>
      <c r="AA39" s="621">
        <f t="shared" si="5"/>
        <v>20</v>
      </c>
      <c r="AB39" s="593"/>
    </row>
    <row r="40" spans="1:28" ht="18" customHeight="1">
      <c r="A40" s="611"/>
      <c r="B40" s="617">
        <f>B39+1</f>
        <v>17</v>
      </c>
      <c r="C40" s="619">
        <f>IF(AND(I39&gt;0,I39&lt;30),I39+1,0)</f>
        <v>19</v>
      </c>
      <c r="D40" s="620">
        <f t="shared" si="3"/>
        <v>20</v>
      </c>
      <c r="E40" s="620">
        <f t="shared" si="3"/>
        <v>21</v>
      </c>
      <c r="F40" s="620">
        <f t="shared" si="3"/>
        <v>22</v>
      </c>
      <c r="G40" s="620">
        <f t="shared" si="3"/>
        <v>23</v>
      </c>
      <c r="H40" s="620">
        <f t="shared" si="3"/>
        <v>24</v>
      </c>
      <c r="I40" s="621">
        <f t="shared" si="3"/>
        <v>25</v>
      </c>
      <c r="J40" s="616"/>
      <c r="K40" s="617">
        <f>K39+1</f>
        <v>21</v>
      </c>
      <c r="L40" s="619">
        <f>IF(AND(R39&gt;0,R39&lt;31),R39+1,0)</f>
        <v>17</v>
      </c>
      <c r="M40" s="620">
        <f t="shared" si="4"/>
        <v>18</v>
      </c>
      <c r="N40" s="620">
        <f t="shared" si="4"/>
        <v>19</v>
      </c>
      <c r="O40" s="620">
        <f t="shared" si="4"/>
        <v>20</v>
      </c>
      <c r="P40" s="620">
        <f t="shared" si="4"/>
        <v>21</v>
      </c>
      <c r="Q40" s="620">
        <f t="shared" si="4"/>
        <v>22</v>
      </c>
      <c r="R40" s="621">
        <f t="shared" si="4"/>
        <v>23</v>
      </c>
      <c r="S40" s="616"/>
      <c r="T40" s="617">
        <f>T39+1</f>
        <v>26</v>
      </c>
      <c r="U40" s="619">
        <f>IF(AND(AA39&gt;0,AA39&lt;30),AA39+1,0)</f>
        <v>21</v>
      </c>
      <c r="V40" s="620">
        <f t="shared" si="5"/>
        <v>22</v>
      </c>
      <c r="W40" s="620">
        <f t="shared" si="5"/>
        <v>23</v>
      </c>
      <c r="X40" s="620">
        <f t="shared" si="5"/>
        <v>24</v>
      </c>
      <c r="Y40" s="620">
        <f t="shared" si="5"/>
        <v>25</v>
      </c>
      <c r="Z40" s="620">
        <f t="shared" si="5"/>
        <v>26</v>
      </c>
      <c r="AA40" s="621">
        <f t="shared" si="5"/>
        <v>27</v>
      </c>
      <c r="AB40" s="593"/>
    </row>
    <row r="41" spans="1:28" ht="18" customHeight="1">
      <c r="A41" s="611"/>
      <c r="B41" s="617">
        <f>B40+1</f>
        <v>18</v>
      </c>
      <c r="C41" s="619">
        <f>IF(AND(I40&gt;0,I40&lt;30),I40+1,0)</f>
        <v>26</v>
      </c>
      <c r="D41" s="620">
        <f t="shared" si="3"/>
        <v>27</v>
      </c>
      <c r="E41" s="620">
        <f t="shared" si="3"/>
        <v>28</v>
      </c>
      <c r="F41" s="620">
        <f t="shared" si="3"/>
        <v>29</v>
      </c>
      <c r="G41" s="620">
        <f t="shared" si="3"/>
        <v>30</v>
      </c>
      <c r="H41" s="620">
        <f t="shared" si="3"/>
        <v>0</v>
      </c>
      <c r="I41" s="621">
        <f t="shared" si="3"/>
        <v>0</v>
      </c>
      <c r="J41" s="616"/>
      <c r="K41" s="617">
        <f>K40+1</f>
        <v>22</v>
      </c>
      <c r="L41" s="619">
        <f>IF(AND(R40&gt;0,R40&lt;31),R40+1,0)</f>
        <v>24</v>
      </c>
      <c r="M41" s="620">
        <f t="shared" si="4"/>
        <v>25</v>
      </c>
      <c r="N41" s="620">
        <f t="shared" si="4"/>
        <v>26</v>
      </c>
      <c r="O41" s="620">
        <f t="shared" si="4"/>
        <v>27</v>
      </c>
      <c r="P41" s="620">
        <f t="shared" si="4"/>
        <v>28</v>
      </c>
      <c r="Q41" s="620">
        <f t="shared" si="4"/>
        <v>29</v>
      </c>
      <c r="R41" s="621">
        <f t="shared" si="4"/>
        <v>30</v>
      </c>
      <c r="S41" s="616"/>
      <c r="T41" s="617">
        <f>T40+1</f>
        <v>27</v>
      </c>
      <c r="U41" s="619">
        <f>IF(AND(AA40&gt;0,AA40&lt;30),AA40+1,0)</f>
        <v>28</v>
      </c>
      <c r="V41" s="620">
        <f t="shared" si="5"/>
        <v>29</v>
      </c>
      <c r="W41" s="620">
        <f t="shared" si="5"/>
        <v>30</v>
      </c>
      <c r="X41" s="620">
        <f t="shared" si="5"/>
        <v>0</v>
      </c>
      <c r="Y41" s="620">
        <f t="shared" si="5"/>
        <v>0</v>
      </c>
      <c r="Z41" s="620">
        <f t="shared" si="5"/>
        <v>0</v>
      </c>
      <c r="AA41" s="621">
        <f t="shared" si="5"/>
        <v>0</v>
      </c>
      <c r="AB41" s="593"/>
    </row>
    <row r="42" spans="1:28" ht="18" customHeight="1" thickBot="1">
      <c r="A42" s="611"/>
      <c r="B42" s="627">
        <f>IF(C42=0,0,B41+1)</f>
        <v>0</v>
      </c>
      <c r="C42" s="624">
        <f>IF(AND(I41&gt;0,I41&lt;30),I41+1,0)</f>
        <v>0</v>
      </c>
      <c r="D42" s="625">
        <f t="shared" si="3"/>
        <v>0</v>
      </c>
      <c r="E42" s="625">
        <f t="shared" si="3"/>
        <v>0</v>
      </c>
      <c r="F42" s="625">
        <f t="shared" si="3"/>
        <v>0</v>
      </c>
      <c r="G42" s="625">
        <f t="shared" si="3"/>
        <v>0</v>
      </c>
      <c r="H42" s="625">
        <f t="shared" si="3"/>
        <v>0</v>
      </c>
      <c r="I42" s="626">
        <f t="shared" si="3"/>
        <v>0</v>
      </c>
      <c r="J42" s="616"/>
      <c r="K42" s="627">
        <f>IF(L42=0,0,K41+1)</f>
        <v>23</v>
      </c>
      <c r="L42" s="628">
        <f>IF(AND(R41&gt;0,R41&lt;31),R41+1,0)</f>
        <v>31</v>
      </c>
      <c r="M42" s="625">
        <f t="shared" si="4"/>
        <v>0</v>
      </c>
      <c r="N42" s="625">
        <f t="shared" si="4"/>
        <v>0</v>
      </c>
      <c r="O42" s="625">
        <f t="shared" si="4"/>
        <v>0</v>
      </c>
      <c r="P42" s="625">
        <f t="shared" si="4"/>
        <v>0</v>
      </c>
      <c r="Q42" s="625">
        <f t="shared" si="4"/>
        <v>0</v>
      </c>
      <c r="R42" s="626">
        <f t="shared" si="4"/>
        <v>0</v>
      </c>
      <c r="S42" s="616"/>
      <c r="T42" s="627">
        <f>IF(U42=0,0,T41+1)</f>
        <v>0</v>
      </c>
      <c r="U42" s="628">
        <f>IF(AND(AA41&gt;0,AA41&lt;30),AA41+1,0)</f>
        <v>0</v>
      </c>
      <c r="V42" s="625">
        <f t="shared" si="5"/>
        <v>0</v>
      </c>
      <c r="W42" s="625">
        <f t="shared" si="5"/>
        <v>0</v>
      </c>
      <c r="X42" s="625">
        <f t="shared" si="5"/>
        <v>0</v>
      </c>
      <c r="Y42" s="625">
        <f t="shared" si="5"/>
        <v>0</v>
      </c>
      <c r="Z42" s="625">
        <f t="shared" si="5"/>
        <v>0</v>
      </c>
      <c r="AA42" s="626">
        <f t="shared" si="5"/>
        <v>0</v>
      </c>
      <c r="AB42" s="593"/>
    </row>
    <row r="43" spans="1:28" ht="18" customHeight="1">
      <c r="A43" s="611"/>
      <c r="B43" s="633"/>
      <c r="C43" s="634"/>
      <c r="D43" s="635"/>
      <c r="E43" s="635"/>
      <c r="F43" s="635"/>
      <c r="G43" s="635"/>
      <c r="H43" s="635"/>
      <c r="I43" s="634"/>
      <c r="J43" s="616"/>
      <c r="K43" s="633"/>
      <c r="L43" s="634"/>
      <c r="M43" s="635"/>
      <c r="N43" s="635"/>
      <c r="O43" s="635"/>
      <c r="P43" s="635"/>
      <c r="Q43" s="635"/>
      <c r="R43" s="634"/>
      <c r="S43" s="616"/>
      <c r="T43" s="633"/>
      <c r="U43" s="634"/>
      <c r="V43" s="635"/>
      <c r="W43" s="635"/>
      <c r="X43" s="635"/>
      <c r="Y43" s="635"/>
      <c r="Z43" s="635"/>
      <c r="AA43" s="634"/>
      <c r="AB43" s="593"/>
    </row>
    <row r="44" spans="1:28" ht="18" customHeight="1">
      <c r="A44" s="611"/>
      <c r="B44" s="616"/>
      <c r="C44" s="592"/>
      <c r="D44" s="592"/>
      <c r="E44" s="592"/>
      <c r="F44" s="592"/>
      <c r="G44" s="592"/>
      <c r="H44" s="592"/>
      <c r="I44" s="592"/>
      <c r="J44" s="616"/>
      <c r="K44" s="616"/>
      <c r="L44" s="592"/>
      <c r="M44" s="592"/>
      <c r="N44" s="592"/>
      <c r="O44" s="592"/>
      <c r="P44" s="592"/>
      <c r="Q44" s="592"/>
      <c r="R44" s="592"/>
      <c r="S44" s="616"/>
      <c r="T44" s="616"/>
      <c r="U44" s="592"/>
      <c r="V44" s="592"/>
      <c r="W44" s="592"/>
      <c r="X44" s="592"/>
      <c r="Y44" s="592"/>
      <c r="Z44" s="592"/>
      <c r="AA44" s="592"/>
      <c r="AB44" s="593"/>
    </row>
    <row r="45" spans="1:28" ht="18" customHeight="1">
      <c r="A45" s="611"/>
      <c r="B45" s="616"/>
      <c r="C45" s="592"/>
      <c r="D45" s="592"/>
      <c r="E45" s="592"/>
      <c r="F45" s="592"/>
      <c r="G45" s="592"/>
      <c r="H45" s="592"/>
      <c r="I45" s="592"/>
      <c r="J45" s="616"/>
      <c r="K45" s="616"/>
      <c r="L45" s="592"/>
      <c r="M45" s="592"/>
      <c r="N45" s="600"/>
      <c r="O45" s="592"/>
      <c r="P45" s="592"/>
      <c r="Q45" s="592"/>
      <c r="R45" s="592"/>
      <c r="S45" s="616"/>
      <c r="T45" s="616"/>
      <c r="U45" s="592"/>
      <c r="V45" s="600"/>
      <c r="W45" s="592"/>
      <c r="X45" s="592"/>
      <c r="Y45" s="592"/>
      <c r="Z45" s="592"/>
      <c r="AA45" s="592"/>
      <c r="AB45" s="593"/>
    </row>
    <row r="46" spans="1:28" ht="18" customHeight="1">
      <c r="A46" s="611"/>
      <c r="B46" s="616"/>
      <c r="C46" s="592"/>
      <c r="D46" s="592"/>
      <c r="E46" s="600"/>
      <c r="F46" s="592"/>
      <c r="G46" s="592"/>
      <c r="H46" s="592"/>
      <c r="I46" s="592"/>
      <c r="J46" s="616"/>
      <c r="K46" s="616"/>
      <c r="L46" s="592"/>
      <c r="M46" s="592"/>
      <c r="N46" s="592"/>
      <c r="O46" s="592"/>
      <c r="P46" s="592"/>
      <c r="Q46" s="592"/>
      <c r="R46" s="592"/>
      <c r="S46" s="616"/>
      <c r="T46" s="616"/>
      <c r="U46" s="592"/>
      <c r="V46" s="592"/>
      <c r="W46" s="592"/>
      <c r="X46" s="592"/>
      <c r="Y46" s="592"/>
      <c r="Z46" s="592"/>
      <c r="AA46" s="592"/>
      <c r="AB46" s="593"/>
    </row>
    <row r="47" spans="1:28" ht="18" customHeight="1">
      <c r="A47" s="611"/>
      <c r="B47" s="616"/>
      <c r="C47" s="592"/>
      <c r="D47" s="592"/>
      <c r="E47" s="592"/>
      <c r="F47" s="592"/>
      <c r="G47" s="592"/>
      <c r="H47" s="592"/>
      <c r="I47" s="592"/>
      <c r="J47" s="616"/>
      <c r="K47" s="616"/>
      <c r="L47" s="592"/>
      <c r="M47" s="592"/>
      <c r="N47" s="592"/>
      <c r="O47" s="592"/>
      <c r="P47" s="592"/>
      <c r="Q47" s="592"/>
      <c r="R47" s="592"/>
      <c r="S47" s="616"/>
      <c r="T47" s="616"/>
      <c r="U47" s="592"/>
      <c r="V47" s="592"/>
      <c r="W47" s="592"/>
      <c r="X47" s="592"/>
      <c r="Y47" s="592"/>
      <c r="Z47" s="592"/>
      <c r="AA47" s="592"/>
      <c r="AB47" s="593"/>
    </row>
    <row r="48" spans="1:28" ht="18" customHeight="1">
      <c r="A48" s="611"/>
      <c r="B48" s="616"/>
      <c r="C48" s="592"/>
      <c r="D48" s="592"/>
      <c r="E48" s="592"/>
      <c r="F48" s="592"/>
      <c r="G48" s="592"/>
      <c r="H48" s="592"/>
      <c r="I48" s="592"/>
      <c r="J48" s="616"/>
      <c r="K48" s="616"/>
      <c r="L48" s="592"/>
      <c r="M48" s="592"/>
      <c r="N48" s="592"/>
      <c r="O48" s="592"/>
      <c r="P48" s="592"/>
      <c r="Q48" s="592"/>
      <c r="R48" s="592"/>
      <c r="S48" s="616"/>
      <c r="T48" s="616"/>
      <c r="U48" s="592"/>
      <c r="V48" s="592"/>
      <c r="W48" s="592"/>
      <c r="X48" s="592"/>
      <c r="Y48" s="592"/>
      <c r="Z48" s="592"/>
      <c r="AA48" s="592"/>
      <c r="AB48" s="593"/>
    </row>
    <row r="49" spans="1:28" s="604" customFormat="1" ht="18" customHeight="1" thickBot="1">
      <c r="A49" s="601"/>
      <c r="B49" s="653" t="s">
        <v>912</v>
      </c>
      <c r="C49" s="653"/>
      <c r="D49" s="653"/>
      <c r="E49" s="653"/>
      <c r="F49" s="653"/>
      <c r="G49" s="653"/>
      <c r="H49" s="653"/>
      <c r="I49" s="653"/>
      <c r="J49" s="602"/>
      <c r="K49" s="652" t="s">
        <v>913</v>
      </c>
      <c r="L49" s="652"/>
      <c r="M49" s="652"/>
      <c r="N49" s="652"/>
      <c r="O49" s="652"/>
      <c r="P49" s="652"/>
      <c r="Q49" s="652"/>
      <c r="R49" s="652"/>
      <c r="S49" s="602"/>
      <c r="T49" s="656" t="s">
        <v>914</v>
      </c>
      <c r="U49" s="656"/>
      <c r="V49" s="656"/>
      <c r="W49" s="656"/>
      <c r="X49" s="656"/>
      <c r="Y49" s="656"/>
      <c r="Z49" s="656"/>
      <c r="AA49" s="656"/>
      <c r="AB49" s="603"/>
    </row>
    <row r="50" spans="1:28" ht="18" customHeight="1">
      <c r="A50" s="611"/>
      <c r="B50" s="606" t="s">
        <v>901</v>
      </c>
      <c r="C50" s="607" t="s">
        <v>902</v>
      </c>
      <c r="D50" s="608" t="s">
        <v>903</v>
      </c>
      <c r="E50" s="608" t="s">
        <v>904</v>
      </c>
      <c r="F50" s="608" t="s">
        <v>905</v>
      </c>
      <c r="G50" s="608" t="s">
        <v>906</v>
      </c>
      <c r="H50" s="608" t="s">
        <v>907</v>
      </c>
      <c r="I50" s="609" t="s">
        <v>908</v>
      </c>
      <c r="J50" s="610"/>
      <c r="K50" s="606" t="s">
        <v>901</v>
      </c>
      <c r="L50" s="607" t="s">
        <v>902</v>
      </c>
      <c r="M50" s="608" t="s">
        <v>903</v>
      </c>
      <c r="N50" s="608" t="s">
        <v>904</v>
      </c>
      <c r="O50" s="608" t="s">
        <v>905</v>
      </c>
      <c r="P50" s="608" t="s">
        <v>906</v>
      </c>
      <c r="Q50" s="608" t="s">
        <v>907</v>
      </c>
      <c r="R50" s="609" t="s">
        <v>908</v>
      </c>
      <c r="S50" s="610"/>
      <c r="T50" s="606" t="s">
        <v>901</v>
      </c>
      <c r="U50" s="607" t="s">
        <v>902</v>
      </c>
      <c r="V50" s="608" t="s">
        <v>903</v>
      </c>
      <c r="W50" s="608" t="s">
        <v>904</v>
      </c>
      <c r="X50" s="608" t="s">
        <v>905</v>
      </c>
      <c r="Y50" s="608" t="s">
        <v>906</v>
      </c>
      <c r="Z50" s="608" t="s">
        <v>907</v>
      </c>
      <c r="AA50" s="609" t="s">
        <v>908</v>
      </c>
      <c r="AB50" s="593"/>
    </row>
    <row r="51" spans="1:28" ht="18" customHeight="1">
      <c r="A51" s="611"/>
      <c r="B51" s="632">
        <f>IF(T42&gt;0,T42,T41+1)</f>
        <v>28</v>
      </c>
      <c r="C51" s="613">
        <f>IF($C$5=1,1,0)</f>
        <v>0</v>
      </c>
      <c r="D51" s="614">
        <f>IF($D$5=1,1,IF(C51&gt;0,C51+1,0))</f>
        <v>0</v>
      </c>
      <c r="E51" s="614">
        <f>IF($E$5=1,1,IF(D51&gt;0,D51+1,0))</f>
        <v>0</v>
      </c>
      <c r="F51" s="614">
        <f>IF($F$5=1,1,IF(E51&gt;0,E51+1,0))</f>
        <v>1</v>
      </c>
      <c r="G51" s="614">
        <f>IF($G$5=1,1,IF(F51&gt;0,F51+1,0))</f>
        <v>2</v>
      </c>
      <c r="H51" s="614">
        <f>IF($H$5=1,1,IF(G51&gt;0,G51+1,0))</f>
        <v>3</v>
      </c>
      <c r="I51" s="615">
        <f>IF($I$5=1,1,IF(H51&gt;0,H51+1,0))</f>
        <v>4</v>
      </c>
      <c r="J51" s="616"/>
      <c r="K51" s="617">
        <f>IF(B56&gt;0,B55+1,B55)</f>
        <v>32</v>
      </c>
      <c r="L51" s="613">
        <f>IF($L$5=1,1,0)</f>
        <v>0</v>
      </c>
      <c r="M51" s="614">
        <f>IF($M$5=1,1,IF(L51&gt;0,L51+1,0))</f>
        <v>0</v>
      </c>
      <c r="N51" s="614">
        <f>IF($N$5=1,1,IF(M51&gt;0,M51+1,0))</f>
        <v>0</v>
      </c>
      <c r="O51" s="614">
        <f>IF($O$5=1,1,IF(N51&gt;0,N51+1,0))</f>
        <v>0</v>
      </c>
      <c r="P51" s="614">
        <f>IF($P$5=1,1,IF(O51&gt;0,O51+1,0))</f>
        <v>0</v>
      </c>
      <c r="Q51" s="614">
        <f>IF($Q$5=1,1,IF(P51&gt;0,P51+1,0))</f>
        <v>0</v>
      </c>
      <c r="R51" s="615">
        <f>IF($R$5=1,1,IF(Q51&gt;0,Q51+1,0))</f>
        <v>1</v>
      </c>
      <c r="S51" s="616"/>
      <c r="T51" s="617">
        <f>IF(K56&gt;0,K55+1,K55)</f>
        <v>37</v>
      </c>
      <c r="U51" s="613">
        <f>IF($U$5=1,1,0)</f>
        <v>0</v>
      </c>
      <c r="V51" s="614">
        <f>IF($V$5=1,1,IF(U51&gt;0,U51+1,0))</f>
        <v>0</v>
      </c>
      <c r="W51" s="614">
        <f>IF($W$5=1,1,IF(V51&gt;0,V51+1,0))</f>
        <v>1</v>
      </c>
      <c r="X51" s="614">
        <f>IF($X$5=1,1,IF(W51&gt;0,W51+1,0))</f>
        <v>2</v>
      </c>
      <c r="Y51" s="614">
        <f>IF($Y$5=1,1,IF(X51&gt;0,X51+1,0))</f>
        <v>3</v>
      </c>
      <c r="Z51" s="636">
        <f>IF($Z$5=1,1,IF(Y51&gt;0,Y51+1,0))</f>
        <v>4</v>
      </c>
      <c r="AA51" s="615">
        <f>IF($AA$5=1,1,IF(Z51&gt;0,Z51+1,0))</f>
        <v>5</v>
      </c>
      <c r="AB51" s="593"/>
    </row>
    <row r="52" spans="1:28" ht="18" customHeight="1">
      <c r="A52" s="611"/>
      <c r="B52" s="617">
        <f>B51+1</f>
        <v>29</v>
      </c>
      <c r="C52" s="619">
        <f>IF(AND(I51&gt;0,I51&lt;31),I51+1,0)</f>
        <v>5</v>
      </c>
      <c r="D52" s="620">
        <f aca="true" t="shared" si="6" ref="D52:I56">IF(AND(C52&gt;0,C52&lt;31),C52+1,0)</f>
        <v>6</v>
      </c>
      <c r="E52" s="620">
        <f t="shared" si="6"/>
        <v>7</v>
      </c>
      <c r="F52" s="620">
        <f t="shared" si="6"/>
        <v>8</v>
      </c>
      <c r="G52" s="620">
        <f t="shared" si="6"/>
        <v>9</v>
      </c>
      <c r="H52" s="620">
        <f t="shared" si="6"/>
        <v>10</v>
      </c>
      <c r="I52" s="621">
        <f t="shared" si="6"/>
        <v>11</v>
      </c>
      <c r="J52" s="616"/>
      <c r="K52" s="617">
        <f>K51+1</f>
        <v>33</v>
      </c>
      <c r="L52" s="619">
        <f>IF(AND(R51&gt;0,R51&lt;31),R51+1,0)</f>
        <v>2</v>
      </c>
      <c r="M52" s="620">
        <f aca="true" t="shared" si="7" ref="M52:R56">IF(AND(L52&gt;0,L52&lt;31),L52+1,0)</f>
        <v>3</v>
      </c>
      <c r="N52" s="620">
        <f t="shared" si="7"/>
        <v>4</v>
      </c>
      <c r="O52" s="620">
        <f t="shared" si="7"/>
        <v>5</v>
      </c>
      <c r="P52" s="620">
        <f t="shared" si="7"/>
        <v>6</v>
      </c>
      <c r="Q52" s="620">
        <f t="shared" si="7"/>
        <v>7</v>
      </c>
      <c r="R52" s="621">
        <f t="shared" si="7"/>
        <v>8</v>
      </c>
      <c r="S52" s="616"/>
      <c r="T52" s="617">
        <f>T51+1</f>
        <v>38</v>
      </c>
      <c r="U52" s="619">
        <f>IF(AND(AA51&gt;0,AA51&lt;30),AA51+1,0)</f>
        <v>6</v>
      </c>
      <c r="V52" s="620">
        <f aca="true" t="shared" si="8" ref="V52:AA56">IF(AND(U52&gt;0,U52&lt;30),U52+1,0)</f>
        <v>7</v>
      </c>
      <c r="W52" s="620">
        <f t="shared" si="8"/>
        <v>8</v>
      </c>
      <c r="X52" s="620">
        <f t="shared" si="8"/>
        <v>9</v>
      </c>
      <c r="Y52" s="620">
        <f t="shared" si="8"/>
        <v>10</v>
      </c>
      <c r="Z52" s="637">
        <f t="shared" si="8"/>
        <v>11</v>
      </c>
      <c r="AA52" s="621">
        <f t="shared" si="8"/>
        <v>12</v>
      </c>
      <c r="AB52" s="593"/>
    </row>
    <row r="53" spans="1:28" ht="18" customHeight="1">
      <c r="A53" s="611"/>
      <c r="B53" s="617">
        <f>B52+1</f>
        <v>30</v>
      </c>
      <c r="C53" s="619">
        <f>IF(AND(I52&gt;0,I52&lt;31),I52+1,0)</f>
        <v>12</v>
      </c>
      <c r="D53" s="620">
        <f t="shared" si="6"/>
        <v>13</v>
      </c>
      <c r="E53" s="620">
        <f t="shared" si="6"/>
        <v>14</v>
      </c>
      <c r="F53" s="620">
        <f t="shared" si="6"/>
        <v>15</v>
      </c>
      <c r="G53" s="620">
        <f t="shared" si="6"/>
        <v>16</v>
      </c>
      <c r="H53" s="620">
        <f t="shared" si="6"/>
        <v>17</v>
      </c>
      <c r="I53" s="621">
        <f t="shared" si="6"/>
        <v>18</v>
      </c>
      <c r="J53" s="616"/>
      <c r="K53" s="617">
        <f>K52+1</f>
        <v>34</v>
      </c>
      <c r="L53" s="619">
        <f>IF(AND(R52&gt;0,R52&lt;31),R52+1,0)</f>
        <v>9</v>
      </c>
      <c r="M53" s="620">
        <f t="shared" si="7"/>
        <v>10</v>
      </c>
      <c r="N53" s="620">
        <f t="shared" si="7"/>
        <v>11</v>
      </c>
      <c r="O53" s="620">
        <f t="shared" si="7"/>
        <v>12</v>
      </c>
      <c r="P53" s="620">
        <f t="shared" si="7"/>
        <v>13</v>
      </c>
      <c r="Q53" s="620">
        <f t="shared" si="7"/>
        <v>14</v>
      </c>
      <c r="R53" s="621">
        <f t="shared" si="7"/>
        <v>15</v>
      </c>
      <c r="S53" s="616"/>
      <c r="T53" s="617">
        <f>T52+1</f>
        <v>39</v>
      </c>
      <c r="U53" s="619">
        <f>IF(AND(AA52&gt;0,AA52&lt;30),AA52+1,0)</f>
        <v>13</v>
      </c>
      <c r="V53" s="620">
        <f t="shared" si="8"/>
        <v>14</v>
      </c>
      <c r="W53" s="620">
        <f t="shared" si="8"/>
        <v>15</v>
      </c>
      <c r="X53" s="620">
        <f t="shared" si="8"/>
        <v>16</v>
      </c>
      <c r="Y53" s="620">
        <f t="shared" si="8"/>
        <v>17</v>
      </c>
      <c r="Z53" s="637">
        <f t="shared" si="8"/>
        <v>18</v>
      </c>
      <c r="AA53" s="621">
        <f t="shared" si="8"/>
        <v>19</v>
      </c>
      <c r="AB53" s="593"/>
    </row>
    <row r="54" spans="1:28" ht="18" customHeight="1">
      <c r="A54" s="611"/>
      <c r="B54" s="617">
        <f>B53+1</f>
        <v>31</v>
      </c>
      <c r="C54" s="619">
        <f>IF(AND(I53&gt;0,I53&lt;31),I53+1,0)</f>
        <v>19</v>
      </c>
      <c r="D54" s="620">
        <f t="shared" si="6"/>
        <v>20</v>
      </c>
      <c r="E54" s="620">
        <f t="shared" si="6"/>
        <v>21</v>
      </c>
      <c r="F54" s="620">
        <f t="shared" si="6"/>
        <v>22</v>
      </c>
      <c r="G54" s="620">
        <f t="shared" si="6"/>
        <v>23</v>
      </c>
      <c r="H54" s="620">
        <f t="shared" si="6"/>
        <v>24</v>
      </c>
      <c r="I54" s="621">
        <f t="shared" si="6"/>
        <v>25</v>
      </c>
      <c r="J54" s="616"/>
      <c r="K54" s="617">
        <f>K53+1</f>
        <v>35</v>
      </c>
      <c r="L54" s="619">
        <f>IF(AND(R53&gt;0,R53&lt;31),R53+1,0)</f>
        <v>16</v>
      </c>
      <c r="M54" s="620">
        <f t="shared" si="7"/>
        <v>17</v>
      </c>
      <c r="N54" s="620">
        <f t="shared" si="7"/>
        <v>18</v>
      </c>
      <c r="O54" s="620">
        <f t="shared" si="7"/>
        <v>19</v>
      </c>
      <c r="P54" s="620">
        <f t="shared" si="7"/>
        <v>20</v>
      </c>
      <c r="Q54" s="620">
        <f t="shared" si="7"/>
        <v>21</v>
      </c>
      <c r="R54" s="621">
        <f t="shared" si="7"/>
        <v>22</v>
      </c>
      <c r="S54" s="616"/>
      <c r="T54" s="617">
        <f>T53+1</f>
        <v>40</v>
      </c>
      <c r="U54" s="619">
        <f>IF(AND(AA53&gt;0,AA53&lt;30),AA53+1,0)</f>
        <v>20</v>
      </c>
      <c r="V54" s="620">
        <f t="shared" si="8"/>
        <v>21</v>
      </c>
      <c r="W54" s="620">
        <f t="shared" si="8"/>
        <v>22</v>
      </c>
      <c r="X54" s="620">
        <f t="shared" si="8"/>
        <v>23</v>
      </c>
      <c r="Y54" s="620">
        <f t="shared" si="8"/>
        <v>24</v>
      </c>
      <c r="Z54" s="637">
        <f t="shared" si="8"/>
        <v>25</v>
      </c>
      <c r="AA54" s="621">
        <f t="shared" si="8"/>
        <v>26</v>
      </c>
      <c r="AB54" s="593"/>
    </row>
    <row r="55" spans="1:28" ht="18" customHeight="1">
      <c r="A55" s="611"/>
      <c r="B55" s="617">
        <f>B54+1</f>
        <v>32</v>
      </c>
      <c r="C55" s="619">
        <f>IF(AND(I54&gt;0,I54&lt;31),I54+1,0)</f>
        <v>26</v>
      </c>
      <c r="D55" s="620">
        <f t="shared" si="6"/>
        <v>27</v>
      </c>
      <c r="E55" s="620">
        <f t="shared" si="6"/>
        <v>28</v>
      </c>
      <c r="F55" s="620">
        <f t="shared" si="6"/>
        <v>29</v>
      </c>
      <c r="G55" s="620">
        <f t="shared" si="6"/>
        <v>30</v>
      </c>
      <c r="H55" s="620">
        <f t="shared" si="6"/>
        <v>31</v>
      </c>
      <c r="I55" s="621">
        <f t="shared" si="6"/>
        <v>0</v>
      </c>
      <c r="J55" s="616"/>
      <c r="K55" s="617">
        <f>K54+1</f>
        <v>36</v>
      </c>
      <c r="L55" s="619">
        <f>IF(AND(R54&gt;0,R54&lt;31),R54+1,0)</f>
        <v>23</v>
      </c>
      <c r="M55" s="620">
        <f t="shared" si="7"/>
        <v>24</v>
      </c>
      <c r="N55" s="620">
        <f t="shared" si="7"/>
        <v>25</v>
      </c>
      <c r="O55" s="620">
        <f t="shared" si="7"/>
        <v>26</v>
      </c>
      <c r="P55" s="620">
        <f t="shared" si="7"/>
        <v>27</v>
      </c>
      <c r="Q55" s="620">
        <f t="shared" si="7"/>
        <v>28</v>
      </c>
      <c r="R55" s="621">
        <f t="shared" si="7"/>
        <v>29</v>
      </c>
      <c r="S55" s="616"/>
      <c r="T55" s="617">
        <f>T54+1</f>
        <v>41</v>
      </c>
      <c r="U55" s="619">
        <f>IF(AND(AA54&gt;0,AA54&lt;30),AA54+1,0)</f>
        <v>27</v>
      </c>
      <c r="V55" s="620">
        <f t="shared" si="8"/>
        <v>28</v>
      </c>
      <c r="W55" s="620">
        <f t="shared" si="8"/>
        <v>29</v>
      </c>
      <c r="X55" s="620">
        <f t="shared" si="8"/>
        <v>30</v>
      </c>
      <c r="Y55" s="620">
        <f t="shared" si="8"/>
        <v>0</v>
      </c>
      <c r="Z55" s="637">
        <f t="shared" si="8"/>
        <v>0</v>
      </c>
      <c r="AA55" s="621">
        <f t="shared" si="8"/>
        <v>0</v>
      </c>
      <c r="AB55" s="593"/>
    </row>
    <row r="56" spans="1:28" ht="18" customHeight="1" thickBot="1">
      <c r="A56" s="611"/>
      <c r="B56" s="627">
        <f>IF(C56=0,0,B55+1)</f>
        <v>0</v>
      </c>
      <c r="C56" s="624">
        <f>IF(AND(I55&gt;0,I55&lt;31),I55+1,0)</f>
        <v>0</v>
      </c>
      <c r="D56" s="625">
        <f t="shared" si="6"/>
        <v>0</v>
      </c>
      <c r="E56" s="625">
        <f t="shared" si="6"/>
        <v>0</v>
      </c>
      <c r="F56" s="625">
        <f t="shared" si="6"/>
        <v>0</v>
      </c>
      <c r="G56" s="625">
        <f t="shared" si="6"/>
        <v>0</v>
      </c>
      <c r="H56" s="625">
        <f t="shared" si="6"/>
        <v>0</v>
      </c>
      <c r="I56" s="626">
        <f t="shared" si="6"/>
        <v>0</v>
      </c>
      <c r="J56" s="616"/>
      <c r="K56" s="627">
        <f>IF(L56=0,0,K55+1)</f>
        <v>37</v>
      </c>
      <c r="L56" s="628">
        <f>IF(AND(R55&gt;0,R55&lt;31),R55+1,0)</f>
        <v>30</v>
      </c>
      <c r="M56" s="625">
        <f t="shared" si="7"/>
        <v>31</v>
      </c>
      <c r="N56" s="625">
        <f t="shared" si="7"/>
        <v>0</v>
      </c>
      <c r="O56" s="625">
        <f t="shared" si="7"/>
        <v>0</v>
      </c>
      <c r="P56" s="625">
        <f t="shared" si="7"/>
        <v>0</v>
      </c>
      <c r="Q56" s="625">
        <f t="shared" si="7"/>
        <v>0</v>
      </c>
      <c r="R56" s="626">
        <f t="shared" si="7"/>
        <v>0</v>
      </c>
      <c r="S56" s="616"/>
      <c r="T56" s="627">
        <f>IF(U56=0,0,T55+1)</f>
        <v>0</v>
      </c>
      <c r="U56" s="628">
        <f>IF(AND(AA55&gt;0,AA55&lt;30),AA55+1,0)</f>
        <v>0</v>
      </c>
      <c r="V56" s="625">
        <f t="shared" si="8"/>
        <v>0</v>
      </c>
      <c r="W56" s="625">
        <f t="shared" si="8"/>
        <v>0</v>
      </c>
      <c r="X56" s="625">
        <f t="shared" si="8"/>
        <v>0</v>
      </c>
      <c r="Y56" s="625">
        <f t="shared" si="8"/>
        <v>0</v>
      </c>
      <c r="Z56" s="625">
        <f t="shared" si="8"/>
        <v>0</v>
      </c>
      <c r="AA56" s="626">
        <f t="shared" si="8"/>
        <v>0</v>
      </c>
      <c r="AB56" s="593"/>
    </row>
    <row r="57" spans="1:28" ht="18" customHeight="1">
      <c r="A57" s="611"/>
      <c r="B57" s="616"/>
      <c r="C57" s="592"/>
      <c r="D57" s="592"/>
      <c r="E57" s="592"/>
      <c r="F57" s="592"/>
      <c r="G57" s="592"/>
      <c r="H57" s="592"/>
      <c r="I57" s="592"/>
      <c r="J57" s="616"/>
      <c r="K57" s="616"/>
      <c r="L57" s="592"/>
      <c r="M57" s="592"/>
      <c r="N57" s="592"/>
      <c r="O57" s="592"/>
      <c r="P57" s="592"/>
      <c r="Q57" s="592"/>
      <c r="R57" s="592"/>
      <c r="S57" s="616"/>
      <c r="T57" s="616"/>
      <c r="U57" s="592"/>
      <c r="V57" s="592"/>
      <c r="W57" s="592"/>
      <c r="X57" s="592"/>
      <c r="Y57" s="592"/>
      <c r="Z57" s="592"/>
      <c r="AA57" s="592"/>
      <c r="AB57" s="593"/>
    </row>
    <row r="58" spans="1:28" ht="18" customHeight="1">
      <c r="A58" s="611"/>
      <c r="B58" s="616"/>
      <c r="C58" s="592"/>
      <c r="D58" s="592"/>
      <c r="E58" s="592"/>
      <c r="F58" s="592"/>
      <c r="G58" s="592"/>
      <c r="H58" s="592"/>
      <c r="I58" s="592"/>
      <c r="J58" s="616"/>
      <c r="K58" s="616"/>
      <c r="L58" s="592"/>
      <c r="M58" s="592"/>
      <c r="N58" s="592"/>
      <c r="O58" s="592"/>
      <c r="P58" s="592"/>
      <c r="Q58" s="592"/>
      <c r="R58" s="592"/>
      <c r="S58" s="616"/>
      <c r="T58" s="616"/>
      <c r="U58" s="592"/>
      <c r="V58" s="592"/>
      <c r="W58" s="592"/>
      <c r="X58" s="592"/>
      <c r="Y58" s="592"/>
      <c r="Z58" s="592"/>
      <c r="AA58" s="592"/>
      <c r="AB58" s="593"/>
    </row>
    <row r="59" spans="1:28" ht="18" customHeight="1">
      <c r="A59" s="611"/>
      <c r="B59" s="616"/>
      <c r="C59" s="592"/>
      <c r="D59" s="592"/>
      <c r="E59" s="600"/>
      <c r="F59" s="592"/>
      <c r="G59" s="592"/>
      <c r="H59" s="592"/>
      <c r="I59" s="600"/>
      <c r="J59" s="616"/>
      <c r="K59" s="616"/>
      <c r="L59" s="592"/>
      <c r="M59" s="592"/>
      <c r="N59" s="600"/>
      <c r="O59" s="592"/>
      <c r="P59" s="592"/>
      <c r="Q59" s="592"/>
      <c r="R59" s="592"/>
      <c r="S59" s="616"/>
      <c r="T59" s="616"/>
      <c r="U59" s="592"/>
      <c r="V59" s="600"/>
      <c r="W59" s="592"/>
      <c r="X59" s="592"/>
      <c r="Y59" s="592"/>
      <c r="Z59" s="592"/>
      <c r="AA59" s="592"/>
      <c r="AB59" s="593"/>
    </row>
    <row r="60" spans="1:28" ht="18" customHeight="1">
      <c r="A60" s="611"/>
      <c r="B60" s="616"/>
      <c r="C60" s="592"/>
      <c r="D60" s="592"/>
      <c r="E60" s="592"/>
      <c r="F60" s="592"/>
      <c r="G60" s="592"/>
      <c r="H60" s="592"/>
      <c r="I60" s="592"/>
      <c r="J60" s="616"/>
      <c r="K60" s="616"/>
      <c r="L60" s="592"/>
      <c r="M60" s="592"/>
      <c r="N60" s="592"/>
      <c r="O60" s="592"/>
      <c r="P60" s="592"/>
      <c r="Q60" s="592"/>
      <c r="R60" s="592"/>
      <c r="S60" s="616"/>
      <c r="T60" s="616"/>
      <c r="U60" s="592"/>
      <c r="V60" s="592"/>
      <c r="W60" s="592"/>
      <c r="X60" s="592"/>
      <c r="Y60" s="592"/>
      <c r="Z60" s="592"/>
      <c r="AA60" s="592"/>
      <c r="AB60" s="593"/>
    </row>
    <row r="61" spans="1:28" ht="18" customHeight="1">
      <c r="A61" s="611"/>
      <c r="B61" s="616"/>
      <c r="C61" s="592"/>
      <c r="D61" s="592"/>
      <c r="E61" s="592"/>
      <c r="F61" s="592"/>
      <c r="G61" s="592"/>
      <c r="H61" s="592"/>
      <c r="I61" s="592"/>
      <c r="J61" s="616"/>
      <c r="K61" s="616"/>
      <c r="L61" s="592"/>
      <c r="M61" s="592"/>
      <c r="N61" s="592"/>
      <c r="O61" s="592"/>
      <c r="P61" s="592"/>
      <c r="Q61" s="592"/>
      <c r="R61" s="592"/>
      <c r="S61" s="616"/>
      <c r="T61" s="616"/>
      <c r="U61" s="592"/>
      <c r="V61" s="592"/>
      <c r="W61" s="592"/>
      <c r="X61" s="592"/>
      <c r="Y61" s="592"/>
      <c r="Z61" s="592"/>
      <c r="AA61" s="592"/>
      <c r="AB61" s="593"/>
    </row>
    <row r="62" spans="1:28" ht="18" customHeight="1">
      <c r="A62" s="611"/>
      <c r="B62" s="616"/>
      <c r="C62" s="592"/>
      <c r="D62" s="592"/>
      <c r="E62" s="592"/>
      <c r="F62" s="592"/>
      <c r="G62" s="592"/>
      <c r="H62" s="592"/>
      <c r="I62" s="592"/>
      <c r="J62" s="616"/>
      <c r="K62" s="616"/>
      <c r="L62" s="592"/>
      <c r="M62" s="592"/>
      <c r="N62" s="592"/>
      <c r="O62" s="592"/>
      <c r="P62" s="592"/>
      <c r="Q62" s="592"/>
      <c r="R62" s="592"/>
      <c r="S62" s="616"/>
      <c r="T62" s="616"/>
      <c r="U62" s="592"/>
      <c r="V62" s="592"/>
      <c r="W62" s="592"/>
      <c r="X62" s="592"/>
      <c r="Y62" s="592"/>
      <c r="Z62" s="592"/>
      <c r="AA62" s="592"/>
      <c r="AB62" s="593"/>
    </row>
    <row r="63" spans="1:28" s="604" customFormat="1" ht="18" customHeight="1" thickBot="1">
      <c r="A63" s="601"/>
      <c r="B63" s="654" t="s">
        <v>915</v>
      </c>
      <c r="C63" s="654"/>
      <c r="D63" s="654"/>
      <c r="E63" s="654"/>
      <c r="F63" s="654"/>
      <c r="G63" s="654"/>
      <c r="H63" s="654"/>
      <c r="I63" s="654"/>
      <c r="J63" s="602"/>
      <c r="K63" s="653" t="s">
        <v>916</v>
      </c>
      <c r="L63" s="653"/>
      <c r="M63" s="653"/>
      <c r="N63" s="653"/>
      <c r="O63" s="653"/>
      <c r="P63" s="653"/>
      <c r="Q63" s="653"/>
      <c r="R63" s="653"/>
      <c r="S63" s="602"/>
      <c r="T63" s="652" t="s">
        <v>917</v>
      </c>
      <c r="U63" s="652"/>
      <c r="V63" s="652"/>
      <c r="W63" s="652"/>
      <c r="X63" s="652"/>
      <c r="Y63" s="652"/>
      <c r="Z63" s="652"/>
      <c r="AA63" s="652"/>
      <c r="AB63" s="603"/>
    </row>
    <row r="64" spans="1:28" ht="18" customHeight="1">
      <c r="A64" s="611"/>
      <c r="B64" s="606" t="s">
        <v>901</v>
      </c>
      <c r="C64" s="607" t="s">
        <v>902</v>
      </c>
      <c r="D64" s="608" t="s">
        <v>903</v>
      </c>
      <c r="E64" s="608" t="s">
        <v>904</v>
      </c>
      <c r="F64" s="608" t="s">
        <v>905</v>
      </c>
      <c r="G64" s="608" t="s">
        <v>906</v>
      </c>
      <c r="H64" s="608" t="s">
        <v>907</v>
      </c>
      <c r="I64" s="609" t="s">
        <v>908</v>
      </c>
      <c r="J64" s="610"/>
      <c r="K64" s="606" t="s">
        <v>901</v>
      </c>
      <c r="L64" s="607" t="s">
        <v>902</v>
      </c>
      <c r="M64" s="608" t="s">
        <v>903</v>
      </c>
      <c r="N64" s="608" t="s">
        <v>904</v>
      </c>
      <c r="O64" s="608" t="s">
        <v>905</v>
      </c>
      <c r="P64" s="608" t="s">
        <v>906</v>
      </c>
      <c r="Q64" s="608" t="s">
        <v>907</v>
      </c>
      <c r="R64" s="609" t="s">
        <v>908</v>
      </c>
      <c r="S64" s="610"/>
      <c r="T64" s="606" t="s">
        <v>901</v>
      </c>
      <c r="U64" s="607" t="s">
        <v>902</v>
      </c>
      <c r="V64" s="608" t="s">
        <v>903</v>
      </c>
      <c r="W64" s="608" t="s">
        <v>904</v>
      </c>
      <c r="X64" s="608" t="s">
        <v>905</v>
      </c>
      <c r="Y64" s="608" t="s">
        <v>906</v>
      </c>
      <c r="Z64" s="608" t="s">
        <v>907</v>
      </c>
      <c r="AA64" s="609" t="s">
        <v>908</v>
      </c>
      <c r="AB64" s="593"/>
    </row>
    <row r="65" spans="1:28" ht="18" customHeight="1">
      <c r="A65" s="611"/>
      <c r="B65" s="632">
        <f>IF(T56&gt;0,T56,T55+1)</f>
        <v>42</v>
      </c>
      <c r="C65" s="638">
        <f>IF($C$6=1,1,0)</f>
        <v>0</v>
      </c>
      <c r="D65" s="614">
        <f>IF($D$6=1,1,IF(C65&gt;0,C65+1,0))</f>
        <v>0</v>
      </c>
      <c r="E65" s="614">
        <f>IF($E$6=1,1,IF(D65&gt;0,D65+1,0))</f>
        <v>0</v>
      </c>
      <c r="F65" s="614">
        <f>IF($F$6=1,1,IF(E65&gt;0,E65+1,0))</f>
        <v>0</v>
      </c>
      <c r="G65" s="614">
        <f>IF($G$6=1,1,IF(F65&gt;0,F65+1,0))</f>
        <v>1</v>
      </c>
      <c r="H65" s="614">
        <f>IF($H$6=1,1,IF(G65&gt;0,G65+1,0))</f>
        <v>2</v>
      </c>
      <c r="I65" s="615">
        <f>IF($I$6=1,1,IF(H65&gt;0,H65+1,0))</f>
        <v>3</v>
      </c>
      <c r="J65" s="616"/>
      <c r="K65" s="617">
        <f>IF(B70&gt;0,B69+1,B69)</f>
        <v>46</v>
      </c>
      <c r="L65" s="613">
        <f>IF($L$6=1,1,0)</f>
        <v>1</v>
      </c>
      <c r="M65" s="614">
        <f>IF($M$6=1,1,IF(L65&gt;0,L65+1,0))</f>
        <v>2</v>
      </c>
      <c r="N65" s="614">
        <f>IF($N$6=1,1,IF(M65&gt;0,M65+1,0))</f>
        <v>3</v>
      </c>
      <c r="O65" s="614">
        <f>IF($O$6=1,1,IF(N65&gt;0,N65+1,0))</f>
        <v>4</v>
      </c>
      <c r="P65" s="614">
        <f>IF($P$6=1,1,IF(O65&gt;0,O65+1,0))</f>
        <v>5</v>
      </c>
      <c r="Q65" s="614">
        <f>IF($Q$6=1,1,IF(P65&gt;0,P65+1,0))</f>
        <v>6</v>
      </c>
      <c r="R65" s="615">
        <f>IF($R$6=1,1,IF(Q65&gt;0,Q65+1,0))</f>
        <v>7</v>
      </c>
      <c r="S65" s="616"/>
      <c r="T65" s="617">
        <f>IF(K70&gt;0,K69+1,K69)</f>
        <v>50</v>
      </c>
      <c r="U65" s="613">
        <f>IF($U$6=1,1,0)</f>
        <v>0</v>
      </c>
      <c r="V65" s="614">
        <f>IF($V$6=1,1,IF(U65&gt;0,U65+1,0))</f>
        <v>0</v>
      </c>
      <c r="W65" s="614">
        <f>IF($W$6=1,1,IF(V65&gt;0,V65+1,0))</f>
        <v>1</v>
      </c>
      <c r="X65" s="614">
        <f>IF($X$6=1,1,IF(W65&gt;0,W65+1,0))</f>
        <v>2</v>
      </c>
      <c r="Y65" s="614">
        <f>IF($Y$6=1,1,IF(X65&gt;0,X65+1,0))</f>
        <v>3</v>
      </c>
      <c r="Z65" s="639">
        <f>IF($Z$6=1,1,IF(Y65&gt;0,Y65+1,0))</f>
        <v>4</v>
      </c>
      <c r="AA65" s="615">
        <f>IF($AA$6=1,1,IF(Z65&gt;0,Z65+1,0))</f>
        <v>5</v>
      </c>
      <c r="AB65" s="593"/>
    </row>
    <row r="66" spans="1:28" ht="18" customHeight="1">
      <c r="A66" s="611"/>
      <c r="B66" s="617">
        <f>B65+1</f>
        <v>43</v>
      </c>
      <c r="C66" s="619">
        <f>IF(AND(I65&gt;0,I65&lt;31),I65+1,0)</f>
        <v>4</v>
      </c>
      <c r="D66" s="620">
        <f aca="true" t="shared" si="9" ref="D66:I70">IF(AND(C66&gt;0,C66&lt;31),C66+1,0)</f>
        <v>5</v>
      </c>
      <c r="E66" s="620">
        <f t="shared" si="9"/>
        <v>6</v>
      </c>
      <c r="F66" s="620">
        <f t="shared" si="9"/>
        <v>7</v>
      </c>
      <c r="G66" s="620">
        <f t="shared" si="9"/>
        <v>8</v>
      </c>
      <c r="H66" s="620">
        <f t="shared" si="9"/>
        <v>9</v>
      </c>
      <c r="I66" s="621">
        <f t="shared" si="9"/>
        <v>10</v>
      </c>
      <c r="J66" s="616"/>
      <c r="K66" s="617">
        <f>K65+1</f>
        <v>47</v>
      </c>
      <c r="L66" s="640">
        <f>IF(AND(R65&gt;0,R65&lt;30),R65+1,0)</f>
        <v>8</v>
      </c>
      <c r="M66" s="620">
        <f aca="true" t="shared" si="10" ref="M66:R70">IF(AND(L66&gt;0,L66&lt;30),L66+1,0)</f>
        <v>9</v>
      </c>
      <c r="N66" s="620">
        <f t="shared" si="10"/>
        <v>10</v>
      </c>
      <c r="O66" s="620">
        <f t="shared" si="10"/>
        <v>11</v>
      </c>
      <c r="P66" s="620">
        <f t="shared" si="10"/>
        <v>12</v>
      </c>
      <c r="Q66" s="620">
        <f t="shared" si="10"/>
        <v>13</v>
      </c>
      <c r="R66" s="621">
        <f t="shared" si="10"/>
        <v>14</v>
      </c>
      <c r="S66" s="616"/>
      <c r="T66" s="617">
        <f>T65+1</f>
        <v>51</v>
      </c>
      <c r="U66" s="619">
        <f>IF(AND(AA65&gt;0,AA65&lt;31),AA65+1,0)</f>
        <v>6</v>
      </c>
      <c r="V66" s="620">
        <f aca="true" t="shared" si="11" ref="V66:AA70">IF(AND(U66&gt;0,U66&lt;31),U66+1,0)</f>
        <v>7</v>
      </c>
      <c r="W66" s="620">
        <f t="shared" si="11"/>
        <v>8</v>
      </c>
      <c r="X66" s="620">
        <f t="shared" si="11"/>
        <v>9</v>
      </c>
      <c r="Y66" s="620">
        <f t="shared" si="11"/>
        <v>10</v>
      </c>
      <c r="Z66" s="641">
        <f t="shared" si="11"/>
        <v>11</v>
      </c>
      <c r="AA66" s="621">
        <f t="shared" si="11"/>
        <v>12</v>
      </c>
      <c r="AB66" s="593"/>
    </row>
    <row r="67" spans="1:28" ht="18" customHeight="1">
      <c r="A67" s="611"/>
      <c r="B67" s="617">
        <f>B66+1</f>
        <v>44</v>
      </c>
      <c r="C67" s="619">
        <f>IF(AND(I66&gt;0,I66&lt;31),I66+1,0)</f>
        <v>11</v>
      </c>
      <c r="D67" s="620">
        <f t="shared" si="9"/>
        <v>12</v>
      </c>
      <c r="E67" s="620">
        <f t="shared" si="9"/>
        <v>13</v>
      </c>
      <c r="F67" s="620">
        <f t="shared" si="9"/>
        <v>14</v>
      </c>
      <c r="G67" s="620">
        <f t="shared" si="9"/>
        <v>15</v>
      </c>
      <c r="H67" s="620">
        <f t="shared" si="9"/>
        <v>16</v>
      </c>
      <c r="I67" s="621">
        <f t="shared" si="9"/>
        <v>17</v>
      </c>
      <c r="J67" s="616"/>
      <c r="K67" s="617">
        <f>K66+1</f>
        <v>48</v>
      </c>
      <c r="L67" s="640">
        <f>IF(AND(R66&gt;0,R66&lt;30),R66+1,0)</f>
        <v>15</v>
      </c>
      <c r="M67" s="620">
        <f t="shared" si="10"/>
        <v>16</v>
      </c>
      <c r="N67" s="620">
        <f t="shared" si="10"/>
        <v>17</v>
      </c>
      <c r="O67" s="620">
        <f t="shared" si="10"/>
        <v>18</v>
      </c>
      <c r="P67" s="620">
        <f t="shared" si="10"/>
        <v>19</v>
      </c>
      <c r="Q67" s="620">
        <f t="shared" si="10"/>
        <v>20</v>
      </c>
      <c r="R67" s="621">
        <f t="shared" si="10"/>
        <v>21</v>
      </c>
      <c r="S67" s="616"/>
      <c r="T67" s="617">
        <f>T66+1</f>
        <v>52</v>
      </c>
      <c r="U67" s="619">
        <f>IF(AND(AA66&gt;0,AA66&lt;31),AA66+1,0)</f>
        <v>13</v>
      </c>
      <c r="V67" s="620">
        <f t="shared" si="11"/>
        <v>14</v>
      </c>
      <c r="W67" s="620">
        <f t="shared" si="11"/>
        <v>15</v>
      </c>
      <c r="X67" s="620">
        <f t="shared" si="11"/>
        <v>16</v>
      </c>
      <c r="Y67" s="620">
        <f t="shared" si="11"/>
        <v>17</v>
      </c>
      <c r="Z67" s="641">
        <f t="shared" si="11"/>
        <v>18</v>
      </c>
      <c r="AA67" s="621">
        <f t="shared" si="11"/>
        <v>19</v>
      </c>
      <c r="AB67" s="593"/>
    </row>
    <row r="68" spans="1:28" ht="18" customHeight="1">
      <c r="A68" s="611"/>
      <c r="B68" s="617">
        <f>B67+1</f>
        <v>45</v>
      </c>
      <c r="C68" s="619">
        <f>IF(AND(I67&gt;0,I67&lt;31),I67+1,0)</f>
        <v>18</v>
      </c>
      <c r="D68" s="620">
        <f t="shared" si="9"/>
        <v>19</v>
      </c>
      <c r="E68" s="620">
        <f t="shared" si="9"/>
        <v>20</v>
      </c>
      <c r="F68" s="620">
        <f t="shared" si="9"/>
        <v>21</v>
      </c>
      <c r="G68" s="620">
        <f t="shared" si="9"/>
        <v>22</v>
      </c>
      <c r="H68" s="620">
        <f t="shared" si="9"/>
        <v>23</v>
      </c>
      <c r="I68" s="621">
        <f t="shared" si="9"/>
        <v>24</v>
      </c>
      <c r="J68" s="616"/>
      <c r="K68" s="617">
        <f>K67+1</f>
        <v>49</v>
      </c>
      <c r="L68" s="640">
        <f>IF(AND(R67&gt;0,R67&lt;30),R67+1,0)</f>
        <v>22</v>
      </c>
      <c r="M68" s="620">
        <f t="shared" si="10"/>
        <v>23</v>
      </c>
      <c r="N68" s="620">
        <f t="shared" si="10"/>
        <v>24</v>
      </c>
      <c r="O68" s="620">
        <f t="shared" si="10"/>
        <v>25</v>
      </c>
      <c r="P68" s="620">
        <f t="shared" si="10"/>
        <v>26</v>
      </c>
      <c r="Q68" s="620">
        <f t="shared" si="10"/>
        <v>27</v>
      </c>
      <c r="R68" s="621">
        <f t="shared" si="10"/>
        <v>28</v>
      </c>
      <c r="S68" s="616"/>
      <c r="T68" s="617">
        <f>T67+1</f>
        <v>53</v>
      </c>
      <c r="U68" s="619">
        <f>IF(AND(AA67&gt;0,AA67&lt;31),AA67+1,0)</f>
        <v>20</v>
      </c>
      <c r="V68" s="620">
        <f t="shared" si="11"/>
        <v>21</v>
      </c>
      <c r="W68" s="620">
        <f t="shared" si="11"/>
        <v>22</v>
      </c>
      <c r="X68" s="620">
        <f t="shared" si="11"/>
        <v>23</v>
      </c>
      <c r="Y68" s="620">
        <f t="shared" si="11"/>
        <v>24</v>
      </c>
      <c r="Z68" s="641">
        <f t="shared" si="11"/>
        <v>25</v>
      </c>
      <c r="AA68" s="621">
        <f t="shared" si="11"/>
        <v>26</v>
      </c>
      <c r="AB68" s="593"/>
    </row>
    <row r="69" spans="1:28" ht="18" customHeight="1">
      <c r="A69" s="611"/>
      <c r="B69" s="617">
        <f>B68+1</f>
        <v>46</v>
      </c>
      <c r="C69" s="619">
        <f>IF(AND(I68&gt;0,I68&lt;31),I68+1,0)</f>
        <v>25</v>
      </c>
      <c r="D69" s="620">
        <f t="shared" si="9"/>
        <v>26</v>
      </c>
      <c r="E69" s="620">
        <f t="shared" si="9"/>
        <v>27</v>
      </c>
      <c r="F69" s="620">
        <f t="shared" si="9"/>
        <v>28</v>
      </c>
      <c r="G69" s="620">
        <f t="shared" si="9"/>
        <v>29</v>
      </c>
      <c r="H69" s="620">
        <f t="shared" si="9"/>
        <v>30</v>
      </c>
      <c r="I69" s="621">
        <f t="shared" si="9"/>
        <v>31</v>
      </c>
      <c r="J69" s="616"/>
      <c r="K69" s="617">
        <f>K68+1</f>
        <v>50</v>
      </c>
      <c r="L69" s="640">
        <f>IF(AND(R68&gt;0,R68&lt;30),R68+1,0)</f>
        <v>29</v>
      </c>
      <c r="M69" s="620">
        <f t="shared" si="10"/>
        <v>30</v>
      </c>
      <c r="N69" s="620">
        <f t="shared" si="10"/>
        <v>0</v>
      </c>
      <c r="O69" s="620">
        <f t="shared" si="10"/>
        <v>0</v>
      </c>
      <c r="P69" s="620">
        <f t="shared" si="10"/>
        <v>0</v>
      </c>
      <c r="Q69" s="620">
        <f t="shared" si="10"/>
        <v>0</v>
      </c>
      <c r="R69" s="621">
        <f t="shared" si="10"/>
        <v>0</v>
      </c>
      <c r="S69" s="616"/>
      <c r="T69" s="617">
        <f>T68+1</f>
        <v>54</v>
      </c>
      <c r="U69" s="619">
        <f>IF(AND(AA68&gt;0,AA68&lt;31),AA68+1,0)</f>
        <v>27</v>
      </c>
      <c r="V69" s="620">
        <f t="shared" si="11"/>
        <v>28</v>
      </c>
      <c r="W69" s="620">
        <f t="shared" si="11"/>
        <v>29</v>
      </c>
      <c r="X69" s="620">
        <f t="shared" si="11"/>
        <v>30</v>
      </c>
      <c r="Y69" s="620">
        <f t="shared" si="11"/>
        <v>31</v>
      </c>
      <c r="Z69" s="641">
        <f t="shared" si="11"/>
        <v>0</v>
      </c>
      <c r="AA69" s="621">
        <f t="shared" si="11"/>
        <v>0</v>
      </c>
      <c r="AB69" s="593"/>
    </row>
    <row r="70" spans="1:28" ht="18" customHeight="1" thickBot="1">
      <c r="A70" s="611"/>
      <c r="B70" s="627">
        <f>IF(C70=0,0,B69+1)</f>
        <v>0</v>
      </c>
      <c r="C70" s="628">
        <f>IF(AND(I69&gt;0,I69&lt;31),I69+1,0)</f>
        <v>0</v>
      </c>
      <c r="D70" s="625">
        <f t="shared" si="9"/>
        <v>0</v>
      </c>
      <c r="E70" s="625">
        <f t="shared" si="9"/>
        <v>0</v>
      </c>
      <c r="F70" s="625">
        <f t="shared" si="9"/>
        <v>0</v>
      </c>
      <c r="G70" s="625">
        <f t="shared" si="9"/>
        <v>0</v>
      </c>
      <c r="H70" s="625">
        <f t="shared" si="9"/>
        <v>0</v>
      </c>
      <c r="I70" s="626">
        <f t="shared" si="9"/>
        <v>0</v>
      </c>
      <c r="J70" s="616"/>
      <c r="K70" s="627">
        <f>IF(L70=0,0,K69+1)</f>
        <v>0</v>
      </c>
      <c r="L70" s="628">
        <f>IF(AND(R69&gt;0,R69&lt;30),R69+1,0)</f>
        <v>0</v>
      </c>
      <c r="M70" s="625">
        <f t="shared" si="10"/>
        <v>0</v>
      </c>
      <c r="N70" s="625">
        <f t="shared" si="10"/>
        <v>0</v>
      </c>
      <c r="O70" s="625">
        <f t="shared" si="10"/>
        <v>0</v>
      </c>
      <c r="P70" s="625">
        <f t="shared" si="10"/>
        <v>0</v>
      </c>
      <c r="Q70" s="625">
        <f t="shared" si="10"/>
        <v>0</v>
      </c>
      <c r="R70" s="626">
        <f t="shared" si="10"/>
        <v>0</v>
      </c>
      <c r="S70" s="616"/>
      <c r="T70" s="627">
        <f>IF(U70=0,0,T69+1)</f>
        <v>0</v>
      </c>
      <c r="U70" s="624">
        <f>IF(AND(AA69&gt;0,AA69&lt;31),AA69+1,0)</f>
        <v>0</v>
      </c>
      <c r="V70" s="625">
        <f t="shared" si="11"/>
        <v>0</v>
      </c>
      <c r="W70" s="625">
        <f t="shared" si="11"/>
        <v>0</v>
      </c>
      <c r="X70" s="625">
        <f t="shared" si="11"/>
        <v>0</v>
      </c>
      <c r="Y70" s="625">
        <f t="shared" si="11"/>
        <v>0</v>
      </c>
      <c r="Z70" s="625">
        <f t="shared" si="11"/>
        <v>0</v>
      </c>
      <c r="AA70" s="626">
        <f t="shared" si="11"/>
        <v>0</v>
      </c>
      <c r="AB70" s="593"/>
    </row>
    <row r="71" spans="1:28" ht="18" customHeight="1">
      <c r="A71" s="605"/>
      <c r="B71" s="592"/>
      <c r="C71" s="592"/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3"/>
    </row>
    <row r="72" spans="1:28" ht="18" customHeight="1" thickBot="1">
      <c r="A72" s="642"/>
      <c r="B72" s="643"/>
      <c r="C72" s="644"/>
      <c r="D72" s="645"/>
      <c r="E72" s="645"/>
      <c r="F72" s="645"/>
      <c r="G72" s="645"/>
      <c r="H72" s="645"/>
      <c r="I72" s="645"/>
      <c r="J72" s="645"/>
      <c r="K72" s="645"/>
      <c r="L72" s="645"/>
      <c r="M72" s="646"/>
      <c r="N72" s="647"/>
      <c r="O72" s="647"/>
      <c r="P72" s="643"/>
      <c r="Q72" s="643"/>
      <c r="R72" s="643"/>
      <c r="S72" s="643"/>
      <c r="T72" s="643"/>
      <c r="U72" s="643"/>
      <c r="V72" s="643"/>
      <c r="W72" s="643"/>
      <c r="X72" s="643"/>
      <c r="Y72" s="643"/>
      <c r="Z72" s="643"/>
      <c r="AA72" s="648"/>
      <c r="AB72" s="649"/>
    </row>
  </sheetData>
  <sheetProtection/>
  <mergeCells count="15">
    <mergeCell ref="T21:AA21"/>
    <mergeCell ref="I8:K8"/>
    <mergeCell ref="P12:Q12"/>
    <mergeCell ref="J12:O12"/>
    <mergeCell ref="B21:I21"/>
    <mergeCell ref="K21:R21"/>
    <mergeCell ref="T63:AA63"/>
    <mergeCell ref="K63:R63"/>
    <mergeCell ref="B63:I63"/>
    <mergeCell ref="T35:AA35"/>
    <mergeCell ref="K35:R35"/>
    <mergeCell ref="B35:I35"/>
    <mergeCell ref="B49:I49"/>
    <mergeCell ref="K49:R49"/>
    <mergeCell ref="T49:AA49"/>
  </mergeCells>
  <printOptions horizontalCentered="1" verticalCentered="1"/>
  <pageMargins left="0.2362204724409449" right="0.2755905511811024" top="0.25" bottom="0.2" header="0.25" footer="0.5"/>
  <pageSetup fitToHeight="1" fitToWidth="1" horizontalDpi="300" verticalDpi="300" orientation="portrait" paperSize="9" scale="76" r:id="rId2"/>
  <headerFooter alignWithMargins="0">
    <oddFooter>&amp;C&amp;"Trebuchet MS,Bold"&amp;10 Patni GE Confidential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>
    <tabColor indexed="20"/>
  </sheetPr>
  <dimension ref="B2:H24"/>
  <sheetViews>
    <sheetView showGridLines="0" showRowColHeaders="0" zoomScale="75" zoomScaleNormal="75" zoomScalePageLayoutView="0" workbookViewId="0" topLeftCell="A1">
      <selection activeCell="K21" sqref="K21"/>
    </sheetView>
  </sheetViews>
  <sheetFormatPr defaultColWidth="9.77734375" defaultRowHeight="15"/>
  <cols>
    <col min="1" max="1" width="7.77734375" style="0" customWidth="1"/>
    <col min="2" max="2" width="14.77734375" style="0" customWidth="1"/>
    <col min="4" max="4" width="12.77734375" style="0" customWidth="1"/>
    <col min="8" max="8" width="10.77734375" style="0" customWidth="1"/>
  </cols>
  <sheetData>
    <row r="1" ht="15.75" thickBot="1"/>
    <row r="2" spans="2:8" ht="24" thickTop="1">
      <c r="B2" s="7" t="s">
        <v>1047</v>
      </c>
      <c r="C2" s="25"/>
      <c r="D2" s="25"/>
      <c r="E2" s="25"/>
      <c r="F2" s="25"/>
      <c r="G2" s="25"/>
      <c r="H2" s="26"/>
    </row>
    <row r="3" spans="2:8" ht="15.75">
      <c r="B3" s="79" t="s">
        <v>1048</v>
      </c>
      <c r="C3" s="11"/>
      <c r="D3" s="11"/>
      <c r="E3" s="11"/>
      <c r="F3" s="11"/>
      <c r="G3" s="11"/>
      <c r="H3" s="13"/>
    </row>
    <row r="4" spans="2:8" ht="15">
      <c r="B4" s="53">
        <f>IF(D4="","",+D4)</f>
      </c>
      <c r="C4" s="50" t="s">
        <v>90</v>
      </c>
      <c r="D4" s="3"/>
      <c r="E4" s="138">
        <f>IF(D4+D5+D6="","",TRUNC(B4))</f>
      </c>
      <c r="F4" s="15" t="s">
        <v>90</v>
      </c>
      <c r="G4" s="38" t="s">
        <v>1049</v>
      </c>
      <c r="H4" s="17">
        <f>IF(D4+D5+D6="","",SIN(B7/180*PI()))</f>
      </c>
    </row>
    <row r="5" spans="2:8" ht="15">
      <c r="B5" s="53">
        <f>IF(D5="","",D5/60)</f>
      </c>
      <c r="C5" s="50" t="s">
        <v>111</v>
      </c>
      <c r="D5" s="3"/>
      <c r="E5" s="18">
        <f>IF(D4+D5+D6="","",TRUNC((B7-E4)*60))</f>
      </c>
      <c r="F5" s="15" t="s">
        <v>111</v>
      </c>
      <c r="G5" s="38" t="s">
        <v>1050</v>
      </c>
      <c r="H5" s="17">
        <f>IF(D4+D5+D6="","",COS(B7/180*PI()))</f>
      </c>
    </row>
    <row r="6" spans="2:8" ht="15">
      <c r="B6" s="75">
        <f>IF(D6="","",D6/3600)</f>
      </c>
      <c r="C6" s="50" t="s">
        <v>112</v>
      </c>
      <c r="D6" s="3"/>
      <c r="E6" s="146">
        <f>IF(D4+D5+D6="","",((B7-E4)*60-E5)*60)</f>
      </c>
      <c r="F6" s="15" t="s">
        <v>112</v>
      </c>
      <c r="G6" s="18"/>
      <c r="H6" s="134"/>
    </row>
    <row r="7" spans="2:8" ht="15">
      <c r="B7" s="53">
        <f>IF(D4+D5+D6="","",SUM(B4+B5+B6))</f>
      </c>
      <c r="C7" s="15" t="s">
        <v>113</v>
      </c>
      <c r="D7" s="18"/>
      <c r="E7" s="18"/>
      <c r="F7" s="18"/>
      <c r="G7" s="38" t="s">
        <v>1051</v>
      </c>
      <c r="H7" s="17">
        <f>IF(D4+D5+D6="","",TAN(B7/180*PI()))</f>
      </c>
    </row>
    <row r="8" spans="2:8" ht="15">
      <c r="B8" s="36" t="s">
        <v>1052</v>
      </c>
      <c r="C8" s="18"/>
      <c r="D8" s="18"/>
      <c r="E8" s="18"/>
      <c r="F8" s="18"/>
      <c r="G8" s="38" t="s">
        <v>1053</v>
      </c>
      <c r="H8" s="17">
        <f>IF(D4+D5+D6="","",1/H7)</f>
      </c>
    </row>
    <row r="9" spans="2:8" ht="15">
      <c r="B9" s="29"/>
      <c r="C9" s="38" t="s">
        <v>1054</v>
      </c>
      <c r="D9" s="137"/>
      <c r="E9" s="18" t="s">
        <v>130</v>
      </c>
      <c r="F9" s="18"/>
      <c r="G9" s="18"/>
      <c r="H9" s="134"/>
    </row>
    <row r="10" spans="2:8" ht="15">
      <c r="B10" s="29"/>
      <c r="C10" s="38" t="s">
        <v>1054</v>
      </c>
      <c r="D10" s="137"/>
      <c r="E10" s="18" t="s">
        <v>1055</v>
      </c>
      <c r="F10" s="18"/>
      <c r="G10" s="38" t="s">
        <v>1056</v>
      </c>
      <c r="H10" s="17">
        <f>IF(D4+D5+D6="","",1/H5)</f>
      </c>
    </row>
    <row r="11" spans="2:8" ht="15">
      <c r="B11" s="143" t="s">
        <v>1057</v>
      </c>
      <c r="C11" s="18"/>
      <c r="D11" s="18"/>
      <c r="E11" s="18"/>
      <c r="F11" s="18"/>
      <c r="G11" s="38" t="s">
        <v>1058</v>
      </c>
      <c r="H11" s="17">
        <f>IF(D4+D5+D6="","",1/H4)</f>
      </c>
    </row>
    <row r="12" spans="2:8" ht="15">
      <c r="B12" s="143" t="s">
        <v>1059</v>
      </c>
      <c r="C12" s="18"/>
      <c r="D12" s="142"/>
      <c r="E12" s="15"/>
      <c r="F12" s="18"/>
      <c r="G12" s="38"/>
      <c r="H12" s="17"/>
    </row>
    <row r="13" spans="2:8" ht="15">
      <c r="B13" s="143" t="s">
        <v>1060</v>
      </c>
      <c r="C13" s="18"/>
      <c r="D13" s="142"/>
      <c r="E13" s="15"/>
      <c r="F13" s="18"/>
      <c r="G13" s="38" t="s">
        <v>1061</v>
      </c>
      <c r="H13" s="17">
        <f>IF(D4+D5+D6="","",B7*0.0174532925199433)</f>
      </c>
    </row>
    <row r="14" spans="2:8" ht="15">
      <c r="B14" s="29"/>
      <c r="C14" s="18"/>
      <c r="D14" s="18"/>
      <c r="E14" s="18"/>
      <c r="F14" s="18"/>
      <c r="G14" s="142">
        <f>IF(D9="","",CONCATENATE("Height needed, in inches, for a ",FIXED(D9,4)," inch sine bar = "))</f>
      </c>
      <c r="H14" s="17">
        <f>IF(D4+D5+D6="","",IF(D9="","",SUM(H4*D9)))</f>
      </c>
    </row>
    <row r="15" spans="2:8" ht="15">
      <c r="B15" s="29"/>
      <c r="C15" s="18"/>
      <c r="D15" s="18"/>
      <c r="E15" s="18"/>
      <c r="F15" s="18"/>
      <c r="G15" s="38">
        <f>IF(D10="","",CONCATENATE("Height needed, in millimeters, for a ",FIXED(D10,3)," millimeter sine bar = "))</f>
      </c>
      <c r="H15" s="17">
        <f>IF(D4+D5+D6="","",IF(D10="","",SUM(H4*D10)))</f>
      </c>
    </row>
    <row r="16" spans="2:8" ht="15.75" thickBot="1">
      <c r="B16" s="30"/>
      <c r="C16" s="21"/>
      <c r="D16" s="141"/>
      <c r="E16" s="136"/>
      <c r="F16" s="21"/>
      <c r="G16" s="54"/>
      <c r="H16" s="135"/>
    </row>
    <row r="17" ht="15.75" thickTop="1"/>
    <row r="22" ht="15">
      <c r="B22" s="139"/>
    </row>
    <row r="23" ht="15">
      <c r="B23" s="139"/>
    </row>
    <row r="24" spans="2:3" ht="15">
      <c r="B24" s="139"/>
      <c r="C24" s="140"/>
    </row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/>
  <dimension ref="A1:Y2001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9.77734375" defaultRowHeight="15"/>
  <cols>
    <col min="1" max="1" width="7.10546875" style="183" customWidth="1"/>
    <col min="2" max="2" width="7.10546875" style="339" customWidth="1"/>
    <col min="3" max="3" width="2.99609375" style="340" customWidth="1"/>
    <col min="4" max="4" width="6.10546875" style="1" customWidth="1"/>
    <col min="5" max="5" width="3.77734375" style="0" customWidth="1"/>
    <col min="6" max="6" width="6.4453125" style="0" customWidth="1"/>
    <col min="7" max="7" width="7.10546875" style="0" customWidth="1"/>
    <col min="8" max="8" width="3.77734375" style="0" customWidth="1"/>
    <col min="9" max="9" width="6.4453125" style="0" customWidth="1"/>
    <col min="10" max="10" width="8.6640625" style="0" customWidth="1"/>
    <col min="11" max="11" width="3.77734375" style="0" customWidth="1"/>
    <col min="12" max="12" width="7.10546875" style="0" customWidth="1"/>
    <col min="13" max="13" width="6.4453125" style="0" customWidth="1"/>
    <col min="14" max="14" width="3.77734375" style="0" customWidth="1"/>
    <col min="15" max="15" width="6.4453125" style="0" customWidth="1"/>
    <col min="16" max="16" width="5.4453125" style="0" customWidth="1"/>
    <col min="17" max="17" width="6.4453125" style="0" customWidth="1"/>
    <col min="18" max="18" width="5.4453125" style="0" customWidth="1"/>
    <col min="19" max="19" width="21.5546875" style="0" hidden="1" customWidth="1"/>
    <col min="20" max="20" width="21.6640625" style="0" hidden="1" customWidth="1"/>
    <col min="22" max="22" width="56.77734375" style="0" customWidth="1"/>
    <col min="23" max="24" width="26.6640625" style="0" customWidth="1"/>
    <col min="25" max="25" width="16.77734375" style="0" customWidth="1"/>
    <col min="27" max="27" width="16.10546875" style="0" bestFit="1" customWidth="1"/>
    <col min="28" max="28" width="21.4453125" style="0" bestFit="1" customWidth="1"/>
    <col min="29" max="29" width="12.21484375" style="0" customWidth="1"/>
  </cols>
  <sheetData>
    <row r="1" spans="1:25" ht="15">
      <c r="A1" s="324" t="s">
        <v>1062</v>
      </c>
      <c r="B1" s="325"/>
      <c r="C1" s="326"/>
      <c r="D1" s="327"/>
      <c r="F1" s="324" t="s">
        <v>127</v>
      </c>
      <c r="G1" s="324"/>
      <c r="I1" s="324" t="s">
        <v>143</v>
      </c>
      <c r="J1" s="324"/>
      <c r="L1" s="324" t="s">
        <v>140</v>
      </c>
      <c r="M1" s="324"/>
      <c r="O1" s="324" t="s">
        <v>142</v>
      </c>
      <c r="P1" s="324"/>
      <c r="Q1" s="324"/>
      <c r="R1" s="324"/>
      <c r="S1" s="324" t="s">
        <v>1063</v>
      </c>
      <c r="T1" s="324"/>
      <c r="V1" t="s">
        <v>1064</v>
      </c>
      <c r="W1" t="s">
        <v>94</v>
      </c>
      <c r="X1" t="s">
        <v>95</v>
      </c>
      <c r="Y1" t="s">
        <v>1065</v>
      </c>
    </row>
    <row r="2" spans="1:25" ht="15">
      <c r="A2"/>
      <c r="B2" s="328">
        <v>0.0059</v>
      </c>
      <c r="C2" s="183">
        <v>97</v>
      </c>
      <c r="D2" s="329">
        <v>0.15</v>
      </c>
      <c r="F2" s="330">
        <v>0.228</v>
      </c>
      <c r="G2" s="331">
        <v>1</v>
      </c>
      <c r="I2" s="330">
        <v>0.234</v>
      </c>
      <c r="J2" s="331" t="s">
        <v>952</v>
      </c>
      <c r="L2" s="331" t="s">
        <v>953</v>
      </c>
      <c r="M2" s="330">
        <v>0.0156</v>
      </c>
      <c r="O2" s="330">
        <v>0.0059</v>
      </c>
      <c r="P2" s="332">
        <v>0.15</v>
      </c>
      <c r="Q2" s="330">
        <v>1.4961</v>
      </c>
      <c r="R2" s="332">
        <v>38</v>
      </c>
      <c r="S2" s="333">
        <v>1</v>
      </c>
      <c r="T2" t="s">
        <v>1066</v>
      </c>
      <c r="V2" t="str">
        <f>IF(W2="","",W2&amp;" &lt;&lt;&lt;&gt;&gt;&gt; "&amp;X2)</f>
        <v>Abampere &lt;&lt;&lt;&gt;&gt;&gt; Ampere</v>
      </c>
      <c r="W2" t="s">
        <v>1067</v>
      </c>
      <c r="X2" t="s">
        <v>1068</v>
      </c>
      <c r="Y2">
        <v>10</v>
      </c>
    </row>
    <row r="3" spans="1:25" ht="15">
      <c r="A3"/>
      <c r="B3" s="328">
        <v>0.0063</v>
      </c>
      <c r="C3" s="183">
        <v>96</v>
      </c>
      <c r="D3" s="329">
        <v>0.16</v>
      </c>
      <c r="F3" s="330">
        <v>0.221</v>
      </c>
      <c r="G3" s="331">
        <v>2</v>
      </c>
      <c r="I3" s="330">
        <v>0.23800000000000002</v>
      </c>
      <c r="J3" s="331" t="s">
        <v>150</v>
      </c>
      <c r="L3" s="331" t="s">
        <v>954</v>
      </c>
      <c r="M3" s="330">
        <v>0.0312</v>
      </c>
      <c r="O3" s="330">
        <v>0.0063</v>
      </c>
      <c r="P3" s="332">
        <v>0.16</v>
      </c>
      <c r="Q3" s="330">
        <v>1.4764</v>
      </c>
      <c r="R3" s="332">
        <v>37.5</v>
      </c>
      <c r="S3" s="334">
        <f>INDEX(A2:A421,S2)</f>
        <v>0</v>
      </c>
      <c r="T3" t="s">
        <v>140</v>
      </c>
      <c r="V3" t="str">
        <f aca="true" t="shared" si="0" ref="V3:V66">IF(W3="","",W3&amp;" &lt;&lt;&lt;&gt;&gt;&gt; "&amp;X3)</f>
        <v>Abampere &lt;&lt;&lt;&gt;&gt;&gt; Faradays/sec (chem)</v>
      </c>
      <c r="W3" t="s">
        <v>1067</v>
      </c>
      <c r="X3" t="s">
        <v>1069</v>
      </c>
      <c r="Y3">
        <v>0.000103638</v>
      </c>
    </row>
    <row r="4" spans="1:25" ht="15">
      <c r="A4"/>
      <c r="B4" s="328">
        <v>0.0067</v>
      </c>
      <c r="C4" s="183">
        <v>95</v>
      </c>
      <c r="D4" s="329">
        <v>0.17</v>
      </c>
      <c r="F4" s="330">
        <v>0.213</v>
      </c>
      <c r="G4" s="331">
        <v>3</v>
      </c>
      <c r="I4" s="330">
        <v>0.242</v>
      </c>
      <c r="J4" s="331" t="s">
        <v>152</v>
      </c>
      <c r="L4" s="331" t="s">
        <v>157</v>
      </c>
      <c r="M4" s="330">
        <v>0.046900000000000004</v>
      </c>
      <c r="O4" s="330">
        <v>0.0067</v>
      </c>
      <c r="P4" s="332">
        <v>0.17</v>
      </c>
      <c r="Q4" s="330">
        <v>1.4567</v>
      </c>
      <c r="R4" s="332">
        <v>37</v>
      </c>
      <c r="S4" s="334">
        <f>INDEX(C2:C421,S2)</f>
        <v>97</v>
      </c>
      <c r="T4" t="s">
        <v>1070</v>
      </c>
      <c r="V4" t="str">
        <f t="shared" si="0"/>
        <v>Abampere &lt;&lt;&lt;&gt;&gt;&gt; Statamperes</v>
      </c>
      <c r="W4" t="s">
        <v>1067</v>
      </c>
      <c r="X4" t="s">
        <v>1071</v>
      </c>
      <c r="Y4">
        <v>29979300000</v>
      </c>
    </row>
    <row r="5" spans="1:25" ht="15">
      <c r="A5"/>
      <c r="B5" s="328">
        <v>0.0071</v>
      </c>
      <c r="C5" s="183">
        <v>94</v>
      </c>
      <c r="D5" s="329">
        <v>0.18</v>
      </c>
      <c r="F5" s="330">
        <v>0.209</v>
      </c>
      <c r="G5" s="331">
        <v>4</v>
      </c>
      <c r="I5" s="330">
        <v>0.246</v>
      </c>
      <c r="J5" s="331" t="s">
        <v>154</v>
      </c>
      <c r="L5" s="331" t="s">
        <v>177</v>
      </c>
      <c r="M5" s="330">
        <v>0.0625</v>
      </c>
      <c r="O5" s="330">
        <v>0.0071</v>
      </c>
      <c r="P5" s="332">
        <v>0.18</v>
      </c>
      <c r="Q5" s="330">
        <v>1.437</v>
      </c>
      <c r="R5" s="332">
        <v>36.5</v>
      </c>
      <c r="S5" s="334">
        <f>INDEX(D2:D421,S2)</f>
        <v>0.15</v>
      </c>
      <c r="T5" t="s">
        <v>1072</v>
      </c>
      <c r="V5" t="str">
        <f t="shared" si="0"/>
        <v>Abcoulomb &lt;&lt;&lt;&gt;&gt;&gt; Ampere - hours</v>
      </c>
      <c r="W5" t="s">
        <v>1073</v>
      </c>
      <c r="X5" t="s">
        <v>1074</v>
      </c>
      <c r="Y5">
        <v>0.00278</v>
      </c>
    </row>
    <row r="6" spans="1:25" ht="15">
      <c r="A6"/>
      <c r="B6" s="328">
        <v>0.0075</v>
      </c>
      <c r="C6" s="183">
        <v>93</v>
      </c>
      <c r="D6" s="329">
        <v>0.19</v>
      </c>
      <c r="F6" s="330">
        <v>0.20550000000000002</v>
      </c>
      <c r="G6" s="331">
        <v>5</v>
      </c>
      <c r="I6" s="330">
        <v>0.25</v>
      </c>
      <c r="J6" s="331" t="s">
        <v>160</v>
      </c>
      <c r="L6" s="331" t="s">
        <v>201</v>
      </c>
      <c r="M6" s="330">
        <v>0.0781</v>
      </c>
      <c r="O6" s="330">
        <v>0.0075</v>
      </c>
      <c r="P6" s="332">
        <v>0.19</v>
      </c>
      <c r="Q6" s="330">
        <v>1.4173</v>
      </c>
      <c r="R6" s="332">
        <v>36</v>
      </c>
      <c r="V6" t="str">
        <f t="shared" si="0"/>
        <v>Abcoulomb &lt;&lt;&lt;&gt;&gt;&gt; Coulomb </v>
      </c>
      <c r="W6" t="s">
        <v>1073</v>
      </c>
      <c r="X6" t="s">
        <v>1075</v>
      </c>
      <c r="Y6">
        <v>10</v>
      </c>
    </row>
    <row r="7" spans="1:25" ht="15">
      <c r="A7"/>
      <c r="B7" s="328">
        <v>0.0079</v>
      </c>
      <c r="C7" s="183">
        <v>92</v>
      </c>
      <c r="D7" s="329">
        <v>0.2</v>
      </c>
      <c r="F7" s="330">
        <v>0.20400000000000001</v>
      </c>
      <c r="G7" s="331">
        <v>6</v>
      </c>
      <c r="I7" s="330">
        <v>0.257</v>
      </c>
      <c r="J7" s="331" t="s">
        <v>164</v>
      </c>
      <c r="L7" s="331" t="s">
        <v>225</v>
      </c>
      <c r="M7" s="330">
        <v>0.09380000000000001</v>
      </c>
      <c r="O7" s="330">
        <v>0.0079</v>
      </c>
      <c r="P7" s="332">
        <v>0.2</v>
      </c>
      <c r="Q7" s="330">
        <v>1.3976</v>
      </c>
      <c r="R7" s="332">
        <v>35.5</v>
      </c>
      <c r="S7" s="324" t="s">
        <v>1076</v>
      </c>
      <c r="T7" s="324"/>
      <c r="V7" t="str">
        <f t="shared" si="0"/>
        <v>Abcoulomb &lt;&lt;&lt;&gt;&gt;&gt; Electronic charges</v>
      </c>
      <c r="W7" t="s">
        <v>1073</v>
      </c>
      <c r="X7" t="s">
        <v>1077</v>
      </c>
      <c r="Y7">
        <v>6.24196E+19</v>
      </c>
    </row>
    <row r="8" spans="1:25" ht="15">
      <c r="A8"/>
      <c r="B8" s="328">
        <v>0.0083</v>
      </c>
      <c r="C8" s="183">
        <v>91</v>
      </c>
      <c r="D8" s="329">
        <v>0.21</v>
      </c>
      <c r="F8" s="330">
        <v>0.201</v>
      </c>
      <c r="G8" s="331">
        <v>7</v>
      </c>
      <c r="I8" s="330">
        <v>0.261</v>
      </c>
      <c r="J8" s="331" t="s">
        <v>167</v>
      </c>
      <c r="L8" s="331" t="s">
        <v>937</v>
      </c>
      <c r="M8" s="330">
        <v>0.1094</v>
      </c>
      <c r="O8" s="330">
        <v>0.0083</v>
      </c>
      <c r="P8" s="332">
        <v>0.21</v>
      </c>
      <c r="Q8" s="330">
        <v>1.378</v>
      </c>
      <c r="R8" s="332">
        <v>35</v>
      </c>
      <c r="S8" s="335">
        <v>1</v>
      </c>
      <c r="T8" t="s">
        <v>1066</v>
      </c>
      <c r="V8" t="str">
        <f t="shared" si="0"/>
        <v>Abcoulomb &lt;&lt;&lt;&gt;&gt;&gt; Faradays (chem)</v>
      </c>
      <c r="W8" t="s">
        <v>1073</v>
      </c>
      <c r="X8" t="s">
        <v>1078</v>
      </c>
      <c r="Y8">
        <v>0.000103638</v>
      </c>
    </row>
    <row r="9" spans="1:25" ht="15">
      <c r="A9"/>
      <c r="B9" s="328">
        <v>0.0087</v>
      </c>
      <c r="C9" s="183">
        <v>90</v>
      </c>
      <c r="D9" s="329">
        <v>0.22</v>
      </c>
      <c r="F9" s="330">
        <v>0.199</v>
      </c>
      <c r="G9" s="331">
        <v>8</v>
      </c>
      <c r="I9" s="330">
        <v>0.266</v>
      </c>
      <c r="J9" s="331" t="s">
        <v>174</v>
      </c>
      <c r="L9" s="331" t="s">
        <v>147</v>
      </c>
      <c r="M9" s="330">
        <v>0.125</v>
      </c>
      <c r="O9" s="330">
        <v>0.0087</v>
      </c>
      <c r="P9" s="336">
        <v>0.22</v>
      </c>
      <c r="Q9" s="330">
        <v>1.3583</v>
      </c>
      <c r="R9" s="332">
        <v>34.5</v>
      </c>
      <c r="S9" s="337">
        <f>INDEX(M2:M97,S8)</f>
        <v>0.0156</v>
      </c>
      <c r="T9" t="s">
        <v>139</v>
      </c>
      <c r="V9" t="str">
        <f t="shared" si="0"/>
        <v>Abcoulomb &lt;&lt;&lt;&gt;&gt;&gt; Statcoulombs</v>
      </c>
      <c r="W9" t="s">
        <v>1073</v>
      </c>
      <c r="X9" t="s">
        <v>1079</v>
      </c>
      <c r="Y9">
        <v>29979300000</v>
      </c>
    </row>
    <row r="10" spans="1:25" ht="15">
      <c r="A10"/>
      <c r="B10" s="328">
        <v>0.0091</v>
      </c>
      <c r="C10" s="183">
        <v>89</v>
      </c>
      <c r="D10" s="329">
        <v>0.23</v>
      </c>
      <c r="F10" s="330">
        <v>0.196</v>
      </c>
      <c r="G10" s="331">
        <v>9</v>
      </c>
      <c r="I10" s="330">
        <v>0.272</v>
      </c>
      <c r="J10" s="331" t="s">
        <v>180</v>
      </c>
      <c r="L10" s="331" t="s">
        <v>162</v>
      </c>
      <c r="M10" s="330">
        <v>0.1406</v>
      </c>
      <c r="O10" s="330">
        <v>0.0091</v>
      </c>
      <c r="P10" s="332">
        <v>0.23</v>
      </c>
      <c r="Q10" s="330">
        <v>1.3386</v>
      </c>
      <c r="R10" s="332">
        <v>34</v>
      </c>
      <c r="V10" t="str">
        <f t="shared" si="0"/>
        <v>Abfarads &lt;&lt;&lt;&gt;&gt;&gt; Farads</v>
      </c>
      <c r="W10" t="s">
        <v>1080</v>
      </c>
      <c r="X10" t="s">
        <v>1081</v>
      </c>
      <c r="Y10">
        <v>1E-09</v>
      </c>
    </row>
    <row r="11" spans="1:25" ht="15">
      <c r="A11"/>
      <c r="B11" s="328">
        <v>0.0094</v>
      </c>
      <c r="C11" s="183"/>
      <c r="D11" s="329">
        <v>0.24</v>
      </c>
      <c r="F11" s="330">
        <v>0.1935</v>
      </c>
      <c r="G11" s="331">
        <v>10</v>
      </c>
      <c r="I11" s="330">
        <v>0.277</v>
      </c>
      <c r="J11" s="331" t="s">
        <v>183</v>
      </c>
      <c r="L11" s="331" t="s">
        <v>179</v>
      </c>
      <c r="M11" s="330">
        <v>0.1562</v>
      </c>
      <c r="O11" s="330">
        <v>0.0094</v>
      </c>
      <c r="P11" s="332">
        <v>0.24</v>
      </c>
      <c r="Q11" s="330">
        <v>1.3189</v>
      </c>
      <c r="R11" s="332">
        <v>33.5</v>
      </c>
      <c r="S11" s="324" t="s">
        <v>1082</v>
      </c>
      <c r="T11" s="324"/>
      <c r="V11" t="str">
        <f t="shared" si="0"/>
        <v>Abfarads &lt;&lt;&lt;&gt;&gt;&gt; Microfarads</v>
      </c>
      <c r="W11" t="s">
        <v>1080</v>
      </c>
      <c r="X11" t="s">
        <v>1083</v>
      </c>
      <c r="Y11">
        <v>1E-15</v>
      </c>
    </row>
    <row r="12" spans="1:25" ht="15">
      <c r="A12"/>
      <c r="B12" s="328">
        <v>0.0095</v>
      </c>
      <c r="C12" s="183">
        <v>88</v>
      </c>
      <c r="D12" s="329"/>
      <c r="F12" s="330">
        <v>0.191</v>
      </c>
      <c r="G12" s="331">
        <v>11</v>
      </c>
      <c r="I12" s="330">
        <v>0.281</v>
      </c>
      <c r="J12" s="331" t="s">
        <v>186</v>
      </c>
      <c r="L12" s="331" t="s">
        <v>197</v>
      </c>
      <c r="M12" s="330">
        <v>0.1719</v>
      </c>
      <c r="O12" s="330">
        <v>0.0098</v>
      </c>
      <c r="P12" s="332">
        <v>0.25</v>
      </c>
      <c r="Q12" s="330">
        <v>1.2992</v>
      </c>
      <c r="R12" s="332">
        <v>33</v>
      </c>
      <c r="S12" s="335">
        <v>1</v>
      </c>
      <c r="T12" t="s">
        <v>1066</v>
      </c>
      <c r="V12" t="str">
        <f t="shared" si="0"/>
        <v>Abfarads &lt;&lt;&lt;&gt;&gt;&gt; Statfarads</v>
      </c>
      <c r="W12" t="s">
        <v>1080</v>
      </c>
      <c r="X12" t="s">
        <v>1084</v>
      </c>
      <c r="Y12">
        <v>8.98758E+20</v>
      </c>
    </row>
    <row r="13" spans="1:25" ht="15">
      <c r="A13"/>
      <c r="B13" s="328">
        <v>0.0098</v>
      </c>
      <c r="C13" s="183"/>
      <c r="D13" s="329">
        <v>0.25</v>
      </c>
      <c r="F13" s="330">
        <v>0.189</v>
      </c>
      <c r="G13" s="331">
        <v>12</v>
      </c>
      <c r="I13" s="330">
        <v>0.29</v>
      </c>
      <c r="J13" s="331" t="s">
        <v>194</v>
      </c>
      <c r="L13" s="331" t="s">
        <v>214</v>
      </c>
      <c r="M13" s="330">
        <v>0.1875</v>
      </c>
      <c r="O13" s="330">
        <v>0.0102</v>
      </c>
      <c r="P13" s="332">
        <v>0.26</v>
      </c>
      <c r="Q13" s="330">
        <v>1.2795</v>
      </c>
      <c r="R13" s="332">
        <v>32.5</v>
      </c>
      <c r="S13" s="337">
        <f>INDEX(I2:I27,S12)</f>
        <v>0.234</v>
      </c>
      <c r="T13" t="s">
        <v>139</v>
      </c>
      <c r="V13" t="str">
        <f t="shared" si="0"/>
        <v>Abhenries &lt;&lt;&lt;&gt;&gt;&gt; Henries</v>
      </c>
      <c r="W13" t="s">
        <v>1085</v>
      </c>
      <c r="X13" t="s">
        <v>1086</v>
      </c>
      <c r="Y13">
        <v>1E-09</v>
      </c>
    </row>
    <row r="14" spans="1:25" ht="15">
      <c r="A14"/>
      <c r="B14" s="328">
        <v>0.01</v>
      </c>
      <c r="C14" s="183">
        <v>87</v>
      </c>
      <c r="D14" s="329"/>
      <c r="F14" s="330">
        <v>0.185</v>
      </c>
      <c r="G14" s="331">
        <v>13</v>
      </c>
      <c r="I14" s="330">
        <v>0.295</v>
      </c>
      <c r="J14" s="331" t="s">
        <v>198</v>
      </c>
      <c r="L14" s="331" t="s">
        <v>922</v>
      </c>
      <c r="M14" s="330">
        <v>0.2031</v>
      </c>
      <c r="O14" s="330">
        <v>0.0106</v>
      </c>
      <c r="P14" s="332">
        <v>0.27</v>
      </c>
      <c r="Q14" s="330">
        <v>1.2598</v>
      </c>
      <c r="R14" s="332">
        <v>32</v>
      </c>
      <c r="V14" t="str">
        <f t="shared" si="0"/>
        <v>Acre-Feet &lt;&lt;&lt;&gt;&gt;&gt; Cubic Feet </v>
      </c>
      <c r="W14" t="s">
        <v>1092</v>
      </c>
      <c r="X14" t="s">
        <v>1093</v>
      </c>
      <c r="Y14">
        <v>43560</v>
      </c>
    </row>
    <row r="15" spans="1:25" ht="15">
      <c r="A15"/>
      <c r="B15" s="328">
        <v>0.0102</v>
      </c>
      <c r="C15" s="183"/>
      <c r="D15" s="329">
        <v>0.26</v>
      </c>
      <c r="F15" s="330">
        <v>0.182</v>
      </c>
      <c r="G15" s="331">
        <v>14</v>
      </c>
      <c r="I15" s="330">
        <v>0.302</v>
      </c>
      <c r="J15" s="331" t="s">
        <v>206</v>
      </c>
      <c r="L15" s="331" t="s">
        <v>938</v>
      </c>
      <c r="M15" s="330">
        <v>0.2188</v>
      </c>
      <c r="O15" s="330">
        <v>0.011</v>
      </c>
      <c r="P15" s="332">
        <v>0.28</v>
      </c>
      <c r="Q15" s="330">
        <v>1.2402</v>
      </c>
      <c r="R15" s="332">
        <v>31.5</v>
      </c>
      <c r="S15" s="324" t="s">
        <v>1088</v>
      </c>
      <c r="T15" s="324"/>
      <c r="V15" t="str">
        <f t="shared" si="0"/>
        <v>Acres &lt;&lt;&lt;&gt;&gt;&gt; Hectare or Square hectometer </v>
      </c>
      <c r="W15" t="s">
        <v>1095</v>
      </c>
      <c r="X15" t="s">
        <v>1087</v>
      </c>
      <c r="Y15">
        <v>0.4046856</v>
      </c>
    </row>
    <row r="16" spans="1:25" ht="15">
      <c r="A16"/>
      <c r="B16" s="328">
        <v>0.0105</v>
      </c>
      <c r="C16" s="183">
        <v>86</v>
      </c>
      <c r="D16" s="329"/>
      <c r="F16" s="330">
        <v>0.18</v>
      </c>
      <c r="G16" s="331">
        <v>15</v>
      </c>
      <c r="I16" s="330">
        <v>0.316</v>
      </c>
      <c r="J16" s="331" t="s">
        <v>216</v>
      </c>
      <c r="L16" s="331" t="s">
        <v>144</v>
      </c>
      <c r="M16" s="330">
        <v>0.2344</v>
      </c>
      <c r="O16" s="330">
        <v>0.0114</v>
      </c>
      <c r="P16" s="332">
        <v>0.29</v>
      </c>
      <c r="Q16" s="330">
        <v>1.2205</v>
      </c>
      <c r="R16" s="332">
        <v>31</v>
      </c>
      <c r="S16" s="335">
        <v>1</v>
      </c>
      <c r="T16" t="s">
        <v>1066</v>
      </c>
      <c r="V16" t="str">
        <f t="shared" si="0"/>
        <v>Acres &lt;&lt;&lt;&gt;&gt;&gt; Square Chain (Gunter's) </v>
      </c>
      <c r="W16" t="s">
        <v>1095</v>
      </c>
      <c r="X16" t="s">
        <v>1089</v>
      </c>
      <c r="Y16">
        <v>10</v>
      </c>
    </row>
    <row r="17" spans="1:25" ht="15">
      <c r="A17"/>
      <c r="B17" s="328">
        <v>0.0106</v>
      </c>
      <c r="C17" s="183"/>
      <c r="D17" s="329">
        <v>0.27</v>
      </c>
      <c r="F17" s="330">
        <v>0.177</v>
      </c>
      <c r="G17" s="331">
        <v>16</v>
      </c>
      <c r="I17" s="330">
        <v>0.323</v>
      </c>
      <c r="J17" s="331" t="s">
        <v>221</v>
      </c>
      <c r="L17" s="331" t="s">
        <v>159</v>
      </c>
      <c r="M17" s="330">
        <v>0.25</v>
      </c>
      <c r="O17" s="330">
        <v>0.0118</v>
      </c>
      <c r="P17" s="332">
        <v>0.3</v>
      </c>
      <c r="Q17" s="330">
        <v>1.2008</v>
      </c>
      <c r="R17" s="332">
        <v>30.5</v>
      </c>
      <c r="S17" s="337">
        <f>INDEX(F2:F98,S16)</f>
        <v>0.228</v>
      </c>
      <c r="T17" t="s">
        <v>139</v>
      </c>
      <c r="V17" t="str">
        <f t="shared" si="0"/>
        <v>Acres &lt;&lt;&lt;&gt;&gt;&gt; Square Feet </v>
      </c>
      <c r="W17" t="s">
        <v>1095</v>
      </c>
      <c r="X17" t="s">
        <v>1096</v>
      </c>
      <c r="Y17">
        <v>43560</v>
      </c>
    </row>
    <row r="18" spans="1:25" ht="15">
      <c r="A18"/>
      <c r="B18" s="328">
        <v>0.011</v>
      </c>
      <c r="C18" s="183">
        <v>85</v>
      </c>
      <c r="D18" s="329">
        <v>0.28</v>
      </c>
      <c r="F18" s="330">
        <v>0.17300000000000001</v>
      </c>
      <c r="G18" s="331">
        <v>17</v>
      </c>
      <c r="I18" s="330">
        <v>0.332</v>
      </c>
      <c r="J18" s="331" t="s">
        <v>920</v>
      </c>
      <c r="L18" s="331" t="s">
        <v>170</v>
      </c>
      <c r="M18" s="330">
        <v>0.2656</v>
      </c>
      <c r="O18" s="330">
        <v>0.0126</v>
      </c>
      <c r="P18" s="332">
        <v>0.32</v>
      </c>
      <c r="Q18" s="330">
        <v>1.1811</v>
      </c>
      <c r="R18" s="332">
        <v>30</v>
      </c>
      <c r="V18" t="str">
        <f t="shared" si="0"/>
        <v>Acres &lt;&lt;&lt;&gt;&gt;&gt; Square Feet (US Survey)</v>
      </c>
      <c r="W18" t="s">
        <v>1095</v>
      </c>
      <c r="X18" t="s">
        <v>645</v>
      </c>
      <c r="Y18">
        <v>43559.826</v>
      </c>
    </row>
    <row r="19" spans="1:25" ht="15">
      <c r="A19"/>
      <c r="B19" s="328">
        <v>0.0114</v>
      </c>
      <c r="C19" s="183"/>
      <c r="D19" s="329">
        <v>0.29</v>
      </c>
      <c r="F19" s="330">
        <v>0.1695</v>
      </c>
      <c r="G19" s="331">
        <v>18</v>
      </c>
      <c r="I19" s="330">
        <v>0.339</v>
      </c>
      <c r="J19" s="331" t="s">
        <v>926</v>
      </c>
      <c r="L19" s="331" t="s">
        <v>188</v>
      </c>
      <c r="M19" s="330">
        <v>0.2812</v>
      </c>
      <c r="O19" s="330">
        <v>0.0134</v>
      </c>
      <c r="P19" s="332">
        <v>0.34</v>
      </c>
      <c r="Q19" s="330">
        <v>1.1614</v>
      </c>
      <c r="R19" s="332">
        <v>29.5</v>
      </c>
      <c r="S19" s="324" t="s">
        <v>1094</v>
      </c>
      <c r="T19" s="324"/>
      <c r="V19" t="str">
        <f t="shared" si="0"/>
        <v>Acres &lt;&lt;&lt;&gt;&gt;&gt; Square Kilometers</v>
      </c>
      <c r="W19" t="s">
        <v>1095</v>
      </c>
      <c r="X19" t="s">
        <v>646</v>
      </c>
      <c r="Y19">
        <v>0.00404686</v>
      </c>
    </row>
    <row r="20" spans="1:25" ht="15">
      <c r="A20"/>
      <c r="B20" s="328">
        <v>0.0115</v>
      </c>
      <c r="C20" s="183">
        <v>84</v>
      </c>
      <c r="D20" s="329"/>
      <c r="F20" s="330">
        <v>0.166</v>
      </c>
      <c r="G20" s="331">
        <v>19</v>
      </c>
      <c r="I20" s="330">
        <v>0.34800000000000003</v>
      </c>
      <c r="J20" s="331" t="s">
        <v>933</v>
      </c>
      <c r="L20" s="331" t="s">
        <v>202</v>
      </c>
      <c r="M20" s="330">
        <v>0.2969</v>
      </c>
      <c r="O20" s="330">
        <v>0.0138</v>
      </c>
      <c r="P20" s="332">
        <v>0.35</v>
      </c>
      <c r="Q20" s="330">
        <v>1.1417</v>
      </c>
      <c r="R20" s="332">
        <v>29</v>
      </c>
      <c r="S20" s="335">
        <v>1</v>
      </c>
      <c r="T20" t="s">
        <v>1066</v>
      </c>
      <c r="V20" t="str">
        <f t="shared" si="0"/>
        <v>Acres &lt;&lt;&lt;&gt;&gt;&gt; Square Links (Gunter's) </v>
      </c>
      <c r="W20" t="s">
        <v>1095</v>
      </c>
      <c r="X20" t="s">
        <v>1090</v>
      </c>
      <c r="Y20">
        <v>100000</v>
      </c>
    </row>
    <row r="21" spans="1:25" ht="15">
      <c r="A21"/>
      <c r="B21" s="328">
        <v>0.0118</v>
      </c>
      <c r="C21" s="183"/>
      <c r="D21" s="329">
        <v>0.3</v>
      </c>
      <c r="F21" s="330">
        <v>0.161</v>
      </c>
      <c r="G21" s="331">
        <v>20</v>
      </c>
      <c r="I21" s="330">
        <v>0.358</v>
      </c>
      <c r="J21" s="331" t="s">
        <v>939</v>
      </c>
      <c r="L21" s="331" t="s">
        <v>212</v>
      </c>
      <c r="M21" s="330">
        <v>0.3125</v>
      </c>
      <c r="O21" s="330">
        <v>0.0142</v>
      </c>
      <c r="P21" s="332">
        <v>0.36</v>
      </c>
      <c r="Q21" s="330">
        <v>1.122</v>
      </c>
      <c r="R21" s="332">
        <v>28.5</v>
      </c>
      <c r="S21" s="337">
        <f>INDEX(O2:O215,S20)</f>
        <v>0.0059</v>
      </c>
      <c r="T21" t="s">
        <v>139</v>
      </c>
      <c r="V21" t="str">
        <f t="shared" si="0"/>
        <v>Acres &lt;&lt;&lt;&gt;&gt;&gt; Square Rods </v>
      </c>
      <c r="W21" t="s">
        <v>1095</v>
      </c>
      <c r="X21" t="s">
        <v>1091</v>
      </c>
      <c r="Y21">
        <v>160</v>
      </c>
    </row>
    <row r="22" spans="1:25" ht="15">
      <c r="A22"/>
      <c r="B22" s="328">
        <v>0.012</v>
      </c>
      <c r="C22" s="183">
        <v>83</v>
      </c>
      <c r="D22" s="329"/>
      <c r="F22" s="330">
        <v>0.159</v>
      </c>
      <c r="G22" s="331">
        <v>21</v>
      </c>
      <c r="I22" s="330">
        <v>0.368</v>
      </c>
      <c r="J22" s="331" t="s">
        <v>948</v>
      </c>
      <c r="L22" s="331" t="s">
        <v>226</v>
      </c>
      <c r="M22" s="330">
        <v>0.3281</v>
      </c>
      <c r="O22" s="330">
        <v>0.015</v>
      </c>
      <c r="P22" s="332">
        <v>0.38</v>
      </c>
      <c r="Q22" s="330">
        <v>1.1024</v>
      </c>
      <c r="R22" s="332">
        <v>28</v>
      </c>
      <c r="V22" t="str">
        <f t="shared" si="0"/>
        <v>Acres  &lt;&lt;&lt;&gt;&gt;&gt; Square Meters </v>
      </c>
      <c r="W22" t="s">
        <v>1097</v>
      </c>
      <c r="X22" t="s">
        <v>1098</v>
      </c>
      <c r="Y22">
        <v>4046.856421</v>
      </c>
    </row>
    <row r="23" spans="1:25" ht="15">
      <c r="A23"/>
      <c r="B23" s="328">
        <v>0.0125</v>
      </c>
      <c r="C23" s="183">
        <v>82</v>
      </c>
      <c r="D23" s="329"/>
      <c r="F23" s="330">
        <v>0.157</v>
      </c>
      <c r="G23" s="331">
        <v>22</v>
      </c>
      <c r="I23" s="330">
        <v>0.377</v>
      </c>
      <c r="J23" s="331" t="s">
        <v>148</v>
      </c>
      <c r="L23" s="331" t="s">
        <v>929</v>
      </c>
      <c r="M23" s="330">
        <v>0.3438</v>
      </c>
      <c r="O23" s="330">
        <v>0.0157</v>
      </c>
      <c r="P23" s="332">
        <v>0.4</v>
      </c>
      <c r="Q23" s="330">
        <v>1.0827</v>
      </c>
      <c r="R23" s="332">
        <v>27.5</v>
      </c>
      <c r="V23" t="str">
        <f t="shared" si="0"/>
        <v>Acres  &lt;&lt;&lt;&gt;&gt;&gt; Square Miles </v>
      </c>
      <c r="W23" t="s">
        <v>1097</v>
      </c>
      <c r="X23" t="s">
        <v>1099</v>
      </c>
      <c r="Y23">
        <v>0.001562</v>
      </c>
    </row>
    <row r="24" spans="1:25" ht="15">
      <c r="A24"/>
      <c r="B24" s="328">
        <v>0.0126</v>
      </c>
      <c r="C24" s="183"/>
      <c r="D24" s="329">
        <v>0.32</v>
      </c>
      <c r="F24" s="330">
        <v>0.154</v>
      </c>
      <c r="G24" s="331">
        <v>23</v>
      </c>
      <c r="I24" s="330">
        <v>0.386</v>
      </c>
      <c r="J24" s="331" t="s">
        <v>155</v>
      </c>
      <c r="L24" s="331" t="s">
        <v>943</v>
      </c>
      <c r="M24" s="330">
        <v>0.3594</v>
      </c>
      <c r="O24" s="330">
        <v>0.0165</v>
      </c>
      <c r="P24" s="332">
        <v>0.42</v>
      </c>
      <c r="Q24" s="330">
        <v>1.063</v>
      </c>
      <c r="R24" s="332">
        <v>27</v>
      </c>
      <c r="S24" s="324" t="s">
        <v>1103</v>
      </c>
      <c r="T24" s="324"/>
      <c r="V24" t="str">
        <f t="shared" si="0"/>
        <v>Acres  &lt;&lt;&lt;&gt;&gt;&gt; Square Yards </v>
      </c>
      <c r="W24" t="s">
        <v>1097</v>
      </c>
      <c r="X24" t="s">
        <v>1100</v>
      </c>
      <c r="Y24">
        <v>4840</v>
      </c>
    </row>
    <row r="25" spans="1:25" ht="15">
      <c r="A25"/>
      <c r="B25" s="328">
        <v>0.013</v>
      </c>
      <c r="C25" s="183">
        <v>81</v>
      </c>
      <c r="D25" s="329"/>
      <c r="F25" s="330">
        <v>0.152</v>
      </c>
      <c r="G25" s="331">
        <v>24</v>
      </c>
      <c r="I25" s="330">
        <v>0.397</v>
      </c>
      <c r="J25" s="331" t="s">
        <v>120</v>
      </c>
      <c r="L25" s="331" t="s">
        <v>145</v>
      </c>
      <c r="M25" s="330">
        <v>0.375</v>
      </c>
      <c r="O25" s="330">
        <v>0.0173</v>
      </c>
      <c r="P25" s="332">
        <v>0.44</v>
      </c>
      <c r="Q25" s="330">
        <v>1.0433</v>
      </c>
      <c r="R25" s="332">
        <v>26.5</v>
      </c>
      <c r="S25">
        <v>1</v>
      </c>
      <c r="T25" t="s">
        <v>1066</v>
      </c>
      <c r="V25" t="str">
        <f t="shared" si="0"/>
        <v>Ampere-hours  &lt;&lt;&lt;&gt;&gt;&gt; Coulombs </v>
      </c>
      <c r="W25" t="s">
        <v>1101</v>
      </c>
      <c r="X25" t="s">
        <v>1102</v>
      </c>
      <c r="Y25">
        <v>3600</v>
      </c>
    </row>
    <row r="26" spans="1:25" ht="15">
      <c r="A26"/>
      <c r="B26" s="328">
        <v>0.0134</v>
      </c>
      <c r="C26" s="183"/>
      <c r="D26" s="329">
        <v>0.34</v>
      </c>
      <c r="F26" s="330">
        <v>0.1495</v>
      </c>
      <c r="G26" s="331">
        <v>25</v>
      </c>
      <c r="I26" s="330">
        <v>0.404</v>
      </c>
      <c r="J26" s="331" t="s">
        <v>101</v>
      </c>
      <c r="L26" s="331" t="s">
        <v>158</v>
      </c>
      <c r="M26" s="330">
        <v>0.3906</v>
      </c>
      <c r="O26" s="330">
        <v>0.0177</v>
      </c>
      <c r="P26" s="332">
        <v>0.45</v>
      </c>
      <c r="Q26" s="330">
        <v>1.0236</v>
      </c>
      <c r="R26" s="332">
        <v>26</v>
      </c>
      <c r="S26" s="334" t="str">
        <f>INDEX(W2:W896,S25)</f>
        <v>Abampere</v>
      </c>
      <c r="T26" t="s">
        <v>94</v>
      </c>
      <c r="V26" t="str">
        <f t="shared" si="0"/>
        <v>Ampere-hours  &lt;&lt;&lt;&gt;&gt;&gt; Faradays </v>
      </c>
      <c r="W26" t="s">
        <v>1101</v>
      </c>
      <c r="X26" t="s">
        <v>1104</v>
      </c>
      <c r="Y26">
        <v>0.03731</v>
      </c>
    </row>
    <row r="27" spans="1:25" ht="15">
      <c r="A27"/>
      <c r="B27" s="328">
        <v>0.0135</v>
      </c>
      <c r="C27" s="183">
        <v>80</v>
      </c>
      <c r="D27" s="329"/>
      <c r="F27" s="330">
        <v>0.147</v>
      </c>
      <c r="G27" s="331">
        <v>26</v>
      </c>
      <c r="I27" s="330">
        <v>0.41300000000000003</v>
      </c>
      <c r="J27" s="331" t="s">
        <v>102</v>
      </c>
      <c r="L27" s="331" t="s">
        <v>165</v>
      </c>
      <c r="M27" s="330">
        <v>0.4062</v>
      </c>
      <c r="O27" s="330">
        <v>0.0181</v>
      </c>
      <c r="P27" s="332">
        <v>0.46</v>
      </c>
      <c r="Q27" s="330">
        <v>1.0039</v>
      </c>
      <c r="R27" s="332">
        <v>25.5</v>
      </c>
      <c r="S27" s="334" t="str">
        <f>INDEX(X2:X896,S25)</f>
        <v>Ampere</v>
      </c>
      <c r="T27" t="s">
        <v>95</v>
      </c>
      <c r="V27" t="str">
        <f t="shared" si="0"/>
        <v>Ampere-turns  &lt;&lt;&lt;&gt;&gt;&gt; Gilberts </v>
      </c>
      <c r="W27" t="s">
        <v>1105</v>
      </c>
      <c r="X27" t="s">
        <v>1106</v>
      </c>
      <c r="Y27">
        <v>1.257</v>
      </c>
    </row>
    <row r="28" spans="1:25" ht="15">
      <c r="A28"/>
      <c r="B28" s="328">
        <v>0.0138</v>
      </c>
      <c r="C28" s="183"/>
      <c r="D28" s="329">
        <v>0.35</v>
      </c>
      <c r="F28" s="330">
        <v>0.14400000000000002</v>
      </c>
      <c r="G28" s="331">
        <v>27</v>
      </c>
      <c r="L28" s="331" t="s">
        <v>169</v>
      </c>
      <c r="M28" s="330">
        <v>0.4219</v>
      </c>
      <c r="O28" s="330">
        <v>0.0189</v>
      </c>
      <c r="P28" s="332">
        <v>0.48</v>
      </c>
      <c r="Q28" s="330">
        <v>0.9843</v>
      </c>
      <c r="R28" s="332">
        <v>25</v>
      </c>
      <c r="S28">
        <f>INDEX(Y2:Y896,S25)</f>
        <v>10</v>
      </c>
      <c r="T28" t="s">
        <v>1065</v>
      </c>
      <c r="V28" t="str">
        <f t="shared" si="0"/>
        <v>Atmospheres  &lt;&lt;&lt;&gt;&gt;&gt; Cms of Mercury </v>
      </c>
      <c r="W28" t="s">
        <v>1107</v>
      </c>
      <c r="X28" t="s">
        <v>1108</v>
      </c>
      <c r="Y28">
        <v>76</v>
      </c>
    </row>
    <row r="29" spans="1:25" ht="15">
      <c r="A29"/>
      <c r="B29" s="328">
        <v>0.0142</v>
      </c>
      <c r="C29" s="183"/>
      <c r="D29" s="329">
        <v>0.36</v>
      </c>
      <c r="F29" s="330">
        <v>0.1405</v>
      </c>
      <c r="G29" s="331">
        <v>28</v>
      </c>
      <c r="L29" s="331" t="s">
        <v>172</v>
      </c>
      <c r="M29" s="330">
        <v>0.4375</v>
      </c>
      <c r="O29" s="330">
        <v>0.0197</v>
      </c>
      <c r="P29" s="332">
        <v>0.5</v>
      </c>
      <c r="Q29" s="330">
        <v>0.9646</v>
      </c>
      <c r="R29" s="332">
        <v>24.5</v>
      </c>
      <c r="S29">
        <f>IF(Convert!B6="","",Convert!B6*Data!S28)</f>
      </c>
      <c r="T29" t="s">
        <v>1111</v>
      </c>
      <c r="V29" t="str">
        <f t="shared" si="0"/>
        <v>Atmospheres  &lt;&lt;&lt;&gt;&gt;&gt; Ft. of water (at 4 degrees C)</v>
      </c>
      <c r="W29" t="s">
        <v>1107</v>
      </c>
      <c r="X29" t="s">
        <v>1109</v>
      </c>
      <c r="Y29">
        <v>33.9</v>
      </c>
    </row>
    <row r="30" spans="1:25" ht="15">
      <c r="A30"/>
      <c r="B30" s="328">
        <v>0.0145</v>
      </c>
      <c r="C30" s="183">
        <v>79</v>
      </c>
      <c r="D30" s="329"/>
      <c r="F30" s="330">
        <v>0.136</v>
      </c>
      <c r="G30" s="331">
        <v>29</v>
      </c>
      <c r="L30" s="331" t="s">
        <v>175</v>
      </c>
      <c r="M30" s="330">
        <v>0.4531</v>
      </c>
      <c r="O30" s="330">
        <v>0.0217</v>
      </c>
      <c r="P30" s="332">
        <v>0.55</v>
      </c>
      <c r="Q30" s="330">
        <v>0.9449</v>
      </c>
      <c r="R30" s="332">
        <v>24</v>
      </c>
      <c r="S30">
        <f>COUNTA(Y2:Y2001)</f>
        <v>881</v>
      </c>
      <c r="T30" t="s">
        <v>1113</v>
      </c>
      <c r="V30" t="str">
        <f t="shared" si="0"/>
        <v>Atmospheres  &lt;&lt;&lt;&gt;&gt;&gt; In. of Mercury (at 0 degrees C)</v>
      </c>
      <c r="W30" t="s">
        <v>1107</v>
      </c>
      <c r="X30" t="s">
        <v>1110</v>
      </c>
      <c r="Y30">
        <v>29.92</v>
      </c>
    </row>
    <row r="31" spans="1:25" ht="15">
      <c r="A31"/>
      <c r="B31" s="328">
        <v>0.015</v>
      </c>
      <c r="C31" s="183"/>
      <c r="D31" s="329">
        <v>0.38</v>
      </c>
      <c r="F31" s="330">
        <v>0.1285</v>
      </c>
      <c r="G31" s="331">
        <v>30</v>
      </c>
      <c r="L31" s="331" t="s">
        <v>178</v>
      </c>
      <c r="M31" s="330">
        <v>0.4688</v>
      </c>
      <c r="O31" s="330">
        <v>0.0236</v>
      </c>
      <c r="P31" s="332">
        <v>0.6</v>
      </c>
      <c r="Q31" s="330">
        <v>0.9252</v>
      </c>
      <c r="R31" s="332">
        <v>23.5</v>
      </c>
      <c r="V31" t="str">
        <f t="shared" si="0"/>
        <v>Atmospheres  &lt;&lt;&lt;&gt;&gt;&gt; Kgs/sq. cm </v>
      </c>
      <c r="W31" t="s">
        <v>1107</v>
      </c>
      <c r="X31" t="s">
        <v>1112</v>
      </c>
      <c r="Y31">
        <v>1.0333</v>
      </c>
    </row>
    <row r="32" spans="1:25" ht="15">
      <c r="A32" s="338" t="s">
        <v>953</v>
      </c>
      <c r="B32" s="328">
        <v>0.0156</v>
      </c>
      <c r="C32" s="183"/>
      <c r="D32" s="329"/>
      <c r="F32" s="330">
        <v>0.12</v>
      </c>
      <c r="G32" s="331">
        <v>31</v>
      </c>
      <c r="L32" s="331" t="s">
        <v>182</v>
      </c>
      <c r="M32" s="330">
        <v>0.4844</v>
      </c>
      <c r="O32" s="330">
        <v>0.0256</v>
      </c>
      <c r="P32" s="332">
        <v>0.65</v>
      </c>
      <c r="Q32" s="330">
        <v>0.9055</v>
      </c>
      <c r="R32" s="332">
        <v>23</v>
      </c>
      <c r="V32" t="str">
        <f t="shared" si="0"/>
        <v>Atmospheres  &lt;&lt;&lt;&gt;&gt;&gt; Kgs/sq. meter </v>
      </c>
      <c r="W32" t="s">
        <v>1107</v>
      </c>
      <c r="X32" t="s">
        <v>1114</v>
      </c>
      <c r="Y32">
        <v>10332</v>
      </c>
    </row>
    <row r="33" spans="1:25" ht="15">
      <c r="A33"/>
      <c r="B33" s="328">
        <v>0.0157</v>
      </c>
      <c r="C33" s="183"/>
      <c r="D33" s="329">
        <v>0.4</v>
      </c>
      <c r="F33" s="330">
        <v>0.116</v>
      </c>
      <c r="G33" s="331">
        <v>32</v>
      </c>
      <c r="L33" s="331" t="s">
        <v>185</v>
      </c>
      <c r="M33" s="330">
        <v>0.5</v>
      </c>
      <c r="O33" s="330">
        <v>0.0276</v>
      </c>
      <c r="P33" s="332">
        <v>0.7</v>
      </c>
      <c r="Q33" s="330">
        <v>0.8858</v>
      </c>
      <c r="R33" s="332">
        <v>22.5</v>
      </c>
      <c r="V33" t="str">
        <f t="shared" si="0"/>
        <v>Atmospheres  &lt;&lt;&lt;&gt;&gt;&gt; Pounds/sq. Inch </v>
      </c>
      <c r="W33" t="s">
        <v>1107</v>
      </c>
      <c r="X33" t="s">
        <v>1115</v>
      </c>
      <c r="Y33">
        <v>14.7</v>
      </c>
    </row>
    <row r="34" spans="1:25" ht="15">
      <c r="A34"/>
      <c r="B34" s="328">
        <v>0.016</v>
      </c>
      <c r="C34" s="183">
        <v>78</v>
      </c>
      <c r="D34" s="329"/>
      <c r="F34" s="330">
        <v>0.113</v>
      </c>
      <c r="G34" s="331">
        <v>33</v>
      </c>
      <c r="L34" s="331" t="s">
        <v>189</v>
      </c>
      <c r="M34" s="330">
        <v>0.5156</v>
      </c>
      <c r="O34" s="330">
        <v>0.0295</v>
      </c>
      <c r="P34" s="332">
        <v>0.75</v>
      </c>
      <c r="Q34" s="330">
        <v>0.8661</v>
      </c>
      <c r="R34" s="332">
        <v>22</v>
      </c>
      <c r="V34" t="str">
        <f t="shared" si="0"/>
        <v>Atmospheres  &lt;&lt;&lt;&gt;&gt;&gt; Ton/sq. Inch </v>
      </c>
      <c r="W34" t="s">
        <v>1107</v>
      </c>
      <c r="X34" t="s">
        <v>1116</v>
      </c>
      <c r="Y34">
        <v>0.007348</v>
      </c>
    </row>
    <row r="35" spans="1:25" ht="15">
      <c r="A35"/>
      <c r="B35" s="328">
        <v>0.0165</v>
      </c>
      <c r="C35" s="183"/>
      <c r="D35" s="329">
        <v>0.42</v>
      </c>
      <c r="F35" s="330">
        <v>0.111</v>
      </c>
      <c r="G35" s="331">
        <v>34</v>
      </c>
      <c r="L35" s="331" t="s">
        <v>191</v>
      </c>
      <c r="M35" s="330">
        <v>0.5312</v>
      </c>
      <c r="O35" s="330">
        <v>0.0315</v>
      </c>
      <c r="P35" s="332">
        <v>0.8</v>
      </c>
      <c r="Q35" s="330">
        <v>0.8465</v>
      </c>
      <c r="R35" s="332">
        <v>21.5</v>
      </c>
      <c r="V35" t="str">
        <f t="shared" si="0"/>
        <v>Atmospheres  &lt;&lt;&lt;&gt;&gt;&gt; Tons/sq. Foot </v>
      </c>
      <c r="W35" t="s">
        <v>1107</v>
      </c>
      <c r="X35" t="s">
        <v>1117</v>
      </c>
      <c r="Y35">
        <v>1.058</v>
      </c>
    </row>
    <row r="36" spans="1:25" ht="15">
      <c r="A36"/>
      <c r="B36" s="328">
        <v>0.0173</v>
      </c>
      <c r="C36" s="183"/>
      <c r="D36" s="329">
        <v>0.44</v>
      </c>
      <c r="F36" s="330">
        <v>0.11</v>
      </c>
      <c r="G36" s="331">
        <v>35</v>
      </c>
      <c r="L36" s="331" t="s">
        <v>193</v>
      </c>
      <c r="M36" s="330">
        <v>0.5469</v>
      </c>
      <c r="O36" s="330">
        <v>0.0335</v>
      </c>
      <c r="P36" s="332">
        <v>0.85</v>
      </c>
      <c r="Q36" s="330">
        <v>0.8268</v>
      </c>
      <c r="R36" s="332">
        <v>21</v>
      </c>
      <c r="V36" t="str">
        <f t="shared" si="0"/>
        <v>Barrels (oil)  &lt;&lt;&lt;&gt;&gt;&gt; Gallons (oil) </v>
      </c>
      <c r="W36" t="s">
        <v>1118</v>
      </c>
      <c r="X36" t="s">
        <v>1119</v>
      </c>
      <c r="Y36">
        <v>42</v>
      </c>
    </row>
    <row r="37" spans="1:25" ht="15">
      <c r="A37"/>
      <c r="B37" s="328">
        <v>0.0177</v>
      </c>
      <c r="C37" s="183"/>
      <c r="D37" s="329">
        <v>0.45</v>
      </c>
      <c r="F37" s="330">
        <v>0.1065</v>
      </c>
      <c r="G37" s="331">
        <v>36</v>
      </c>
      <c r="L37" s="331" t="s">
        <v>196</v>
      </c>
      <c r="M37" s="330">
        <v>0.5625</v>
      </c>
      <c r="O37" s="330">
        <v>0.0354</v>
      </c>
      <c r="P37" s="332">
        <v>0.9</v>
      </c>
      <c r="Q37" s="330">
        <v>0.8071</v>
      </c>
      <c r="R37" s="332">
        <v>20.5</v>
      </c>
      <c r="V37" t="str">
        <f t="shared" si="0"/>
        <v>Barrels (US dry)  &lt;&lt;&lt;&gt;&gt;&gt; Cubic. Inches </v>
      </c>
      <c r="W37" t="s">
        <v>1120</v>
      </c>
      <c r="X37" t="s">
        <v>1121</v>
      </c>
      <c r="Y37">
        <v>7056</v>
      </c>
    </row>
    <row r="38" spans="1:25" ht="15">
      <c r="A38"/>
      <c r="B38" s="328">
        <v>0.018</v>
      </c>
      <c r="C38" s="183">
        <v>77</v>
      </c>
      <c r="D38" s="329"/>
      <c r="F38" s="330">
        <v>0.10400000000000001</v>
      </c>
      <c r="G38" s="331">
        <v>37</v>
      </c>
      <c r="L38" s="331" t="s">
        <v>200</v>
      </c>
      <c r="M38" s="330">
        <v>0.5781</v>
      </c>
      <c r="O38" s="330">
        <v>0.0374</v>
      </c>
      <c r="P38" s="332">
        <v>0.95</v>
      </c>
      <c r="Q38" s="330">
        <v>0.7874</v>
      </c>
      <c r="R38" s="332">
        <v>20</v>
      </c>
      <c r="V38" t="str">
        <f t="shared" si="0"/>
        <v>Barrels (US dry)  &lt;&lt;&lt;&gt;&gt;&gt; Quarts (dry) </v>
      </c>
      <c r="W38" t="s">
        <v>1120</v>
      </c>
      <c r="X38" t="s">
        <v>1122</v>
      </c>
      <c r="Y38">
        <v>105</v>
      </c>
    </row>
    <row r="39" spans="1:25" ht="15">
      <c r="A39"/>
      <c r="B39" s="328">
        <v>0.0181</v>
      </c>
      <c r="C39" s="183"/>
      <c r="D39" s="329">
        <v>0.46</v>
      </c>
      <c r="F39" s="330">
        <v>0.1015</v>
      </c>
      <c r="G39" s="331">
        <v>38</v>
      </c>
      <c r="L39" s="331" t="s">
        <v>204</v>
      </c>
      <c r="M39" s="330">
        <v>0.5938</v>
      </c>
      <c r="O39" s="330">
        <v>0.0394</v>
      </c>
      <c r="P39" s="332">
        <v>1</v>
      </c>
      <c r="Q39" s="330">
        <v>0.7677</v>
      </c>
      <c r="R39" s="332">
        <v>19.5</v>
      </c>
      <c r="V39" t="str">
        <f t="shared" si="0"/>
        <v>Barrels (US, liquid)  &lt;&lt;&lt;&gt;&gt;&gt; Barrels (US, dry) </v>
      </c>
      <c r="W39" t="s">
        <v>1123</v>
      </c>
      <c r="X39" t="s">
        <v>1124</v>
      </c>
      <c r="Y39">
        <v>1.03125</v>
      </c>
    </row>
    <row r="40" spans="1:25" ht="15">
      <c r="A40"/>
      <c r="B40" s="328">
        <v>0.0189</v>
      </c>
      <c r="C40" s="183"/>
      <c r="D40" s="329">
        <v>0.48</v>
      </c>
      <c r="F40" s="330">
        <v>0.0995</v>
      </c>
      <c r="G40" s="331">
        <v>39</v>
      </c>
      <c r="L40" s="331" t="s">
        <v>207</v>
      </c>
      <c r="M40" s="330">
        <v>0.6094</v>
      </c>
      <c r="O40" s="330">
        <v>0.0413</v>
      </c>
      <c r="P40" s="332">
        <v>1.05</v>
      </c>
      <c r="Q40" s="330">
        <v>0.748</v>
      </c>
      <c r="R40" s="332">
        <v>19</v>
      </c>
      <c r="V40" t="str">
        <f t="shared" si="0"/>
        <v>Barrels (US, liquid)  &lt;&lt;&lt;&gt;&gt;&gt; Gallons </v>
      </c>
      <c r="W40" t="s">
        <v>1123</v>
      </c>
      <c r="X40" t="s">
        <v>1125</v>
      </c>
      <c r="Y40">
        <v>31.5</v>
      </c>
    </row>
    <row r="41" spans="1:25" ht="15">
      <c r="A41"/>
      <c r="B41" s="328">
        <v>0.0197</v>
      </c>
      <c r="C41" s="183"/>
      <c r="D41" s="329">
        <v>0.5</v>
      </c>
      <c r="F41" s="330">
        <v>0.098</v>
      </c>
      <c r="G41" s="331">
        <v>40</v>
      </c>
      <c r="L41" s="331" t="s">
        <v>209</v>
      </c>
      <c r="M41" s="330">
        <v>0.625</v>
      </c>
      <c r="O41" s="330">
        <v>0.043300000000000005</v>
      </c>
      <c r="P41" s="332">
        <v>1.1</v>
      </c>
      <c r="Q41" s="330">
        <v>0.7283</v>
      </c>
      <c r="R41" s="332">
        <v>18.5</v>
      </c>
      <c r="V41" t="str">
        <f t="shared" si="0"/>
        <v>Bars &lt;&lt;&lt;&gt;&gt;&gt; Pounds/sq. Inch </v>
      </c>
      <c r="W41" t="s">
        <v>1126</v>
      </c>
      <c r="X41" t="s">
        <v>1115</v>
      </c>
      <c r="Y41">
        <v>14.5</v>
      </c>
    </row>
    <row r="42" spans="1:25" ht="15">
      <c r="A42"/>
      <c r="B42" s="328">
        <v>0.02</v>
      </c>
      <c r="C42" s="183">
        <v>76</v>
      </c>
      <c r="D42" s="329"/>
      <c r="F42" s="330">
        <v>0.096</v>
      </c>
      <c r="G42" s="331">
        <v>41</v>
      </c>
      <c r="L42" s="331" t="s">
        <v>211</v>
      </c>
      <c r="M42" s="330">
        <v>0.6406</v>
      </c>
      <c r="O42" s="330">
        <v>0.0453</v>
      </c>
      <c r="P42" s="332">
        <v>1.15</v>
      </c>
      <c r="Q42" s="330">
        <v>0.7087</v>
      </c>
      <c r="R42" s="332">
        <v>18</v>
      </c>
      <c r="V42" t="str">
        <f t="shared" si="0"/>
        <v>Bars  &lt;&lt;&lt;&gt;&gt;&gt; Atmospheres </v>
      </c>
      <c r="W42" t="s">
        <v>1127</v>
      </c>
      <c r="X42" t="s">
        <v>1107</v>
      </c>
      <c r="Y42">
        <v>0.9869</v>
      </c>
    </row>
    <row r="43" spans="1:25" ht="15">
      <c r="A43"/>
      <c r="B43" s="328">
        <v>0.021</v>
      </c>
      <c r="C43" s="183">
        <v>75</v>
      </c>
      <c r="D43" s="329"/>
      <c r="F43" s="330">
        <v>0.0935</v>
      </c>
      <c r="G43" s="331">
        <v>42</v>
      </c>
      <c r="L43" s="331" t="s">
        <v>215</v>
      </c>
      <c r="M43" s="330">
        <v>0.6562</v>
      </c>
      <c r="O43" s="330">
        <v>0.0472</v>
      </c>
      <c r="P43" s="332">
        <v>1.2</v>
      </c>
      <c r="Q43" s="330">
        <v>0.6890000000000001</v>
      </c>
      <c r="R43" s="332">
        <v>17.5</v>
      </c>
      <c r="V43" t="str">
        <f t="shared" si="0"/>
        <v>Bars  &lt;&lt;&lt;&gt;&gt;&gt; Dynes/sq. cm </v>
      </c>
      <c r="W43" t="s">
        <v>1127</v>
      </c>
      <c r="X43" t="s">
        <v>1128</v>
      </c>
      <c r="Y43">
        <v>1000000</v>
      </c>
    </row>
    <row r="44" spans="1:25" ht="15">
      <c r="A44"/>
      <c r="B44" s="328">
        <v>0.0217</v>
      </c>
      <c r="C44" s="183"/>
      <c r="D44" s="329">
        <v>0.55</v>
      </c>
      <c r="F44" s="330">
        <v>0.089</v>
      </c>
      <c r="G44" s="331">
        <v>43</v>
      </c>
      <c r="L44" s="331" t="s">
        <v>218</v>
      </c>
      <c r="M44" s="330">
        <v>0.6719</v>
      </c>
      <c r="O44" s="330">
        <v>0.0492</v>
      </c>
      <c r="P44" s="332">
        <v>1.25</v>
      </c>
      <c r="Q44" s="330">
        <v>0.6693</v>
      </c>
      <c r="R44" s="332">
        <v>17</v>
      </c>
      <c r="V44" t="str">
        <f t="shared" si="0"/>
        <v>Bars  &lt;&lt;&lt;&gt;&gt;&gt; Kgs/sq. meter </v>
      </c>
      <c r="W44" t="s">
        <v>1127</v>
      </c>
      <c r="X44" t="s">
        <v>1114</v>
      </c>
      <c r="Y44">
        <v>10200</v>
      </c>
    </row>
    <row r="45" spans="1:25" ht="15">
      <c r="A45"/>
      <c r="B45" s="328">
        <v>0.0225</v>
      </c>
      <c r="C45" s="183">
        <v>74</v>
      </c>
      <c r="D45" s="329"/>
      <c r="F45" s="330">
        <v>0.08600000000000001</v>
      </c>
      <c r="G45" s="331">
        <v>44</v>
      </c>
      <c r="L45" s="331" t="s">
        <v>220</v>
      </c>
      <c r="M45" s="330">
        <v>0.6875</v>
      </c>
      <c r="O45" s="330">
        <v>0.0512</v>
      </c>
      <c r="P45" s="332">
        <v>1.3</v>
      </c>
      <c r="Q45" s="330">
        <v>0.6496</v>
      </c>
      <c r="R45" s="332">
        <v>16.5</v>
      </c>
      <c r="V45" t="str">
        <f t="shared" si="0"/>
        <v>Bars  &lt;&lt;&lt;&gt;&gt;&gt; Pounds/sq. Foot </v>
      </c>
      <c r="W45" t="s">
        <v>1127</v>
      </c>
      <c r="X45" t="s">
        <v>1129</v>
      </c>
      <c r="Y45">
        <v>2089</v>
      </c>
    </row>
    <row r="46" spans="1:25" ht="15">
      <c r="A46"/>
      <c r="B46" s="328">
        <v>0.0236</v>
      </c>
      <c r="C46" s="183"/>
      <c r="D46" s="329">
        <v>0.6</v>
      </c>
      <c r="F46" s="330">
        <v>0.082</v>
      </c>
      <c r="G46" s="331">
        <v>45</v>
      </c>
      <c r="L46" s="331" t="s">
        <v>223</v>
      </c>
      <c r="M46" s="330">
        <v>0.7031</v>
      </c>
      <c r="O46" s="330">
        <v>0.0531</v>
      </c>
      <c r="P46" s="332">
        <v>1.35</v>
      </c>
      <c r="Q46" s="330">
        <v>0.6299</v>
      </c>
      <c r="R46" s="332">
        <v>16</v>
      </c>
      <c r="V46" t="str">
        <f t="shared" si="0"/>
        <v>Bolt of cloth &lt;&lt;&lt;&gt;&gt;&gt; Ells</v>
      </c>
      <c r="W46" t="s">
        <v>1130</v>
      </c>
      <c r="X46" t="s">
        <v>1131</v>
      </c>
      <c r="Y46">
        <v>32</v>
      </c>
    </row>
    <row r="47" spans="1:25" ht="15">
      <c r="A47"/>
      <c r="B47" s="328">
        <v>0.024</v>
      </c>
      <c r="C47" s="183">
        <v>73</v>
      </c>
      <c r="D47" s="329"/>
      <c r="F47" s="330">
        <v>0.081</v>
      </c>
      <c r="G47" s="331">
        <v>46</v>
      </c>
      <c r="L47" s="331" t="s">
        <v>918</v>
      </c>
      <c r="M47" s="330">
        <v>0.7188</v>
      </c>
      <c r="O47" s="330">
        <v>0.0551</v>
      </c>
      <c r="P47" s="332">
        <v>1.4</v>
      </c>
      <c r="Q47" s="330">
        <v>0.6102</v>
      </c>
      <c r="R47" s="332">
        <v>15.5</v>
      </c>
      <c r="V47" t="str">
        <f t="shared" si="0"/>
        <v>Bolt of cloth &lt;&lt;&lt;&gt;&gt;&gt; Linear feet</v>
      </c>
      <c r="W47" t="s">
        <v>1130</v>
      </c>
      <c r="X47" t="s">
        <v>1132</v>
      </c>
      <c r="Y47">
        <v>120</v>
      </c>
    </row>
    <row r="48" spans="1:25" ht="15">
      <c r="A48"/>
      <c r="B48" s="328">
        <v>0.025</v>
      </c>
      <c r="C48" s="183">
        <v>72</v>
      </c>
      <c r="D48" s="329"/>
      <c r="F48" s="330">
        <v>0.0785</v>
      </c>
      <c r="G48" s="331">
        <v>47</v>
      </c>
      <c r="L48" s="331" t="s">
        <v>921</v>
      </c>
      <c r="M48" s="330">
        <v>0.7344</v>
      </c>
      <c r="O48" s="330">
        <v>0.057100000000000005</v>
      </c>
      <c r="P48" s="332">
        <v>1.45</v>
      </c>
      <c r="Q48" s="330">
        <v>0.5906</v>
      </c>
      <c r="R48" s="332">
        <v>15</v>
      </c>
      <c r="V48" t="str">
        <f t="shared" si="0"/>
        <v>Bolt of cloth &lt;&lt;&lt;&gt;&gt;&gt; Meters</v>
      </c>
      <c r="W48" t="s">
        <v>1130</v>
      </c>
      <c r="X48" t="s">
        <v>64</v>
      </c>
      <c r="Y48">
        <v>36.576</v>
      </c>
    </row>
    <row r="49" spans="1:25" ht="15">
      <c r="A49"/>
      <c r="B49" s="328">
        <v>0.0256</v>
      </c>
      <c r="C49" s="183"/>
      <c r="D49" s="329">
        <v>0.65</v>
      </c>
      <c r="F49" s="330">
        <v>0.076</v>
      </c>
      <c r="G49" s="331">
        <v>48</v>
      </c>
      <c r="L49" s="331" t="s">
        <v>924</v>
      </c>
      <c r="M49" s="330">
        <v>0.75</v>
      </c>
      <c r="O49" s="330">
        <v>0.0591</v>
      </c>
      <c r="P49" s="332">
        <v>1.5</v>
      </c>
      <c r="Q49" s="330">
        <v>0.5709</v>
      </c>
      <c r="R49" s="332">
        <v>14.5</v>
      </c>
      <c r="V49" t="str">
        <f t="shared" si="0"/>
        <v>BTU  &lt;&lt;&lt;&gt;&gt;&gt; Ergs </v>
      </c>
      <c r="W49" t="s">
        <v>1133</v>
      </c>
      <c r="X49" t="s">
        <v>1134</v>
      </c>
      <c r="Y49">
        <v>10600000000</v>
      </c>
    </row>
    <row r="50" spans="1:25" ht="15">
      <c r="A50"/>
      <c r="B50" s="328">
        <v>0.026</v>
      </c>
      <c r="C50" s="183">
        <v>71</v>
      </c>
      <c r="D50" s="329"/>
      <c r="F50" s="330">
        <v>0.073</v>
      </c>
      <c r="G50" s="331">
        <v>49</v>
      </c>
      <c r="L50" s="331" t="s">
        <v>927</v>
      </c>
      <c r="M50" s="330">
        <v>0.7656</v>
      </c>
      <c r="O50" s="330">
        <v>0.061000000000000006</v>
      </c>
      <c r="P50" s="332">
        <v>1.55</v>
      </c>
      <c r="Q50" s="330">
        <v>0.5512</v>
      </c>
      <c r="R50" s="332">
        <v>14</v>
      </c>
      <c r="V50" t="str">
        <f t="shared" si="0"/>
        <v>BTU  &lt;&lt;&lt;&gt;&gt;&gt; Foot-lbs </v>
      </c>
      <c r="W50" t="s">
        <v>1133</v>
      </c>
      <c r="X50" t="s">
        <v>1135</v>
      </c>
      <c r="Y50">
        <v>778.3</v>
      </c>
    </row>
    <row r="51" spans="1:25" ht="15">
      <c r="A51"/>
      <c r="B51" s="328">
        <v>0.0276</v>
      </c>
      <c r="C51" s="183"/>
      <c r="D51" s="329">
        <v>0.7</v>
      </c>
      <c r="F51" s="330">
        <v>0.07</v>
      </c>
      <c r="G51" s="331">
        <v>50</v>
      </c>
      <c r="L51" s="331" t="s">
        <v>930</v>
      </c>
      <c r="M51" s="330">
        <v>0.7812</v>
      </c>
      <c r="O51" s="330">
        <v>0.063</v>
      </c>
      <c r="P51" s="332">
        <v>1.6</v>
      </c>
      <c r="Q51" s="330">
        <v>0.5315</v>
      </c>
      <c r="R51" s="332">
        <v>13.5</v>
      </c>
      <c r="V51" t="str">
        <f t="shared" si="0"/>
        <v>BTU  &lt;&lt;&lt;&gt;&gt;&gt; Gram-Calories </v>
      </c>
      <c r="W51" t="s">
        <v>1133</v>
      </c>
      <c r="X51" t="s">
        <v>1136</v>
      </c>
      <c r="Y51">
        <v>252</v>
      </c>
    </row>
    <row r="52" spans="1:25" ht="15">
      <c r="A52"/>
      <c r="B52" s="328">
        <v>0.028</v>
      </c>
      <c r="C52" s="183">
        <v>70</v>
      </c>
      <c r="D52" s="329"/>
      <c r="F52" s="330">
        <v>0.067</v>
      </c>
      <c r="G52" s="331">
        <v>51</v>
      </c>
      <c r="L52" s="331" t="s">
        <v>932</v>
      </c>
      <c r="M52" s="330">
        <v>0.7969</v>
      </c>
      <c r="O52" s="330">
        <v>0.065</v>
      </c>
      <c r="P52" s="332">
        <v>1.65</v>
      </c>
      <c r="Q52" s="330">
        <v>0.5118</v>
      </c>
      <c r="R52" s="332">
        <v>13</v>
      </c>
      <c r="V52" t="str">
        <f t="shared" si="0"/>
        <v>BTU  &lt;&lt;&lt;&gt;&gt;&gt; HorsePower-Hours </v>
      </c>
      <c r="W52" t="s">
        <v>1133</v>
      </c>
      <c r="X52" t="s">
        <v>1137</v>
      </c>
      <c r="Y52">
        <v>0.0003931</v>
      </c>
    </row>
    <row r="53" spans="1:25" ht="15">
      <c r="A53"/>
      <c r="B53" s="328">
        <v>0.0292</v>
      </c>
      <c r="C53" s="183">
        <v>69</v>
      </c>
      <c r="D53" s="329"/>
      <c r="F53" s="330">
        <v>0.0635</v>
      </c>
      <c r="G53" s="331">
        <v>52</v>
      </c>
      <c r="L53" s="331" t="s">
        <v>935</v>
      </c>
      <c r="M53" s="330">
        <v>0.8125</v>
      </c>
      <c r="O53" s="330">
        <v>0.0669</v>
      </c>
      <c r="P53" s="332">
        <v>1.7</v>
      </c>
      <c r="Q53" s="330">
        <v>0.4921</v>
      </c>
      <c r="R53" s="332">
        <v>12.5</v>
      </c>
      <c r="V53" t="str">
        <f t="shared" si="0"/>
        <v>BTU  &lt;&lt;&lt;&gt;&gt;&gt; Joules </v>
      </c>
      <c r="W53" t="s">
        <v>1133</v>
      </c>
      <c r="X53" t="s">
        <v>1138</v>
      </c>
      <c r="Y53">
        <v>1054.8</v>
      </c>
    </row>
    <row r="54" spans="1:25" ht="15">
      <c r="A54"/>
      <c r="B54" s="328">
        <v>0.0295</v>
      </c>
      <c r="C54" s="183"/>
      <c r="D54" s="329">
        <v>0.75</v>
      </c>
      <c r="F54" s="330">
        <v>0.059500000000000004</v>
      </c>
      <c r="G54" s="331">
        <v>53</v>
      </c>
      <c r="L54" s="331" t="s">
        <v>940</v>
      </c>
      <c r="M54" s="330">
        <v>0.8281</v>
      </c>
      <c r="O54" s="330">
        <v>0.0689</v>
      </c>
      <c r="P54" s="332">
        <v>1.75</v>
      </c>
      <c r="Q54" s="330">
        <v>0.4724</v>
      </c>
      <c r="R54" s="332">
        <v>12</v>
      </c>
      <c r="V54" t="str">
        <f t="shared" si="0"/>
        <v>BTU  &lt;&lt;&lt;&gt;&gt;&gt; Kilogram-Calories </v>
      </c>
      <c r="W54" t="s">
        <v>1133</v>
      </c>
      <c r="X54" t="s">
        <v>1139</v>
      </c>
      <c r="Y54">
        <v>0.252</v>
      </c>
    </row>
    <row r="55" spans="1:25" ht="15">
      <c r="A55"/>
      <c r="B55" s="328">
        <v>0.031</v>
      </c>
      <c r="C55" s="183">
        <v>68</v>
      </c>
      <c r="D55" s="329"/>
      <c r="F55" s="330">
        <v>0.055</v>
      </c>
      <c r="G55" s="331">
        <v>54</v>
      </c>
      <c r="L55" s="331" t="s">
        <v>942</v>
      </c>
      <c r="M55" s="330">
        <v>0.8438</v>
      </c>
      <c r="O55" s="330">
        <v>0.0709</v>
      </c>
      <c r="P55" s="332">
        <v>1.8</v>
      </c>
      <c r="Q55" s="330">
        <v>0.4528</v>
      </c>
      <c r="R55" s="332">
        <v>11.5</v>
      </c>
      <c r="V55" t="str">
        <f t="shared" si="0"/>
        <v>BTU  &lt;&lt;&lt;&gt;&gt;&gt; Kilogram-meters </v>
      </c>
      <c r="W55" t="s">
        <v>1133</v>
      </c>
      <c r="X55" t="s">
        <v>1140</v>
      </c>
      <c r="Y55">
        <v>107.5</v>
      </c>
    </row>
    <row r="56" spans="1:25" ht="15">
      <c r="A56" s="338" t="s">
        <v>954</v>
      </c>
      <c r="B56" s="328">
        <v>0.0312</v>
      </c>
      <c r="C56" s="183"/>
      <c r="D56" s="329"/>
      <c r="F56" s="330">
        <v>0.052000000000000005</v>
      </c>
      <c r="G56" s="331">
        <v>55</v>
      </c>
      <c r="L56" s="331" t="s">
        <v>945</v>
      </c>
      <c r="M56" s="330">
        <v>0.8594</v>
      </c>
      <c r="O56" s="330">
        <v>0.0728</v>
      </c>
      <c r="P56" s="332">
        <v>1.85</v>
      </c>
      <c r="Q56" s="330">
        <v>0.4331</v>
      </c>
      <c r="R56" s="332">
        <v>11</v>
      </c>
      <c r="V56" t="str">
        <f t="shared" si="0"/>
        <v>BTU  &lt;&lt;&lt;&gt;&gt;&gt; Kilowatt-Hours </v>
      </c>
      <c r="W56" t="s">
        <v>1133</v>
      </c>
      <c r="X56" t="s">
        <v>1141</v>
      </c>
      <c r="Y56">
        <v>0.0002928</v>
      </c>
    </row>
    <row r="57" spans="1:25" ht="15">
      <c r="A57"/>
      <c r="B57" s="328">
        <v>0.0315</v>
      </c>
      <c r="C57" s="183"/>
      <c r="D57" s="329">
        <v>0.8</v>
      </c>
      <c r="F57" s="330">
        <v>0.0465</v>
      </c>
      <c r="G57" s="331">
        <v>56</v>
      </c>
      <c r="L57" s="331" t="s">
        <v>947</v>
      </c>
      <c r="M57" s="330">
        <v>0.875</v>
      </c>
      <c r="O57" s="330">
        <v>0.0748</v>
      </c>
      <c r="P57" s="332">
        <v>1.9</v>
      </c>
      <c r="Q57" s="330">
        <v>0.4134</v>
      </c>
      <c r="R57" s="332">
        <v>10.5</v>
      </c>
      <c r="V57" t="str">
        <f t="shared" si="0"/>
        <v>BTU/Hour  &lt;&lt;&lt;&gt;&gt;&gt; Foot-pounds/Second </v>
      </c>
      <c r="W57" t="s">
        <v>1142</v>
      </c>
      <c r="X57" t="s">
        <v>227</v>
      </c>
      <c r="Y57">
        <v>0.2162</v>
      </c>
    </row>
    <row r="58" spans="1:25" ht="15">
      <c r="A58"/>
      <c r="B58" s="328">
        <v>0.032</v>
      </c>
      <c r="C58" s="183">
        <v>67</v>
      </c>
      <c r="D58" s="329"/>
      <c r="F58" s="330">
        <v>0.043000000000000003</v>
      </c>
      <c r="G58" s="331">
        <v>57</v>
      </c>
      <c r="L58" s="331" t="s">
        <v>950</v>
      </c>
      <c r="M58" s="330">
        <v>0.8906</v>
      </c>
      <c r="O58" s="330">
        <v>0.07680000000000001</v>
      </c>
      <c r="P58" s="332">
        <v>1.95</v>
      </c>
      <c r="Q58" s="330">
        <v>0.3937</v>
      </c>
      <c r="R58" s="332">
        <v>10</v>
      </c>
      <c r="V58" t="str">
        <f t="shared" si="0"/>
        <v>BTU/Hour  &lt;&lt;&lt;&gt;&gt;&gt; Gram-cal/Second </v>
      </c>
      <c r="W58" t="s">
        <v>1142</v>
      </c>
      <c r="X58" t="s">
        <v>228</v>
      </c>
      <c r="Y58">
        <v>0.07</v>
      </c>
    </row>
    <row r="59" spans="1:25" ht="15">
      <c r="A59"/>
      <c r="B59" s="328">
        <v>0.033</v>
      </c>
      <c r="C59" s="183">
        <v>66</v>
      </c>
      <c r="D59" s="329"/>
      <c r="F59" s="330">
        <v>0.042</v>
      </c>
      <c r="G59" s="331">
        <v>58</v>
      </c>
      <c r="L59" s="331" t="s">
        <v>146</v>
      </c>
      <c r="M59" s="330">
        <v>0.9062</v>
      </c>
      <c r="O59" s="330">
        <v>0.0787</v>
      </c>
      <c r="P59" s="332">
        <v>2</v>
      </c>
      <c r="Q59" s="330">
        <v>0.3898</v>
      </c>
      <c r="R59" s="332">
        <v>9.9</v>
      </c>
      <c r="V59" t="str">
        <f t="shared" si="0"/>
        <v>BTU/Hour  &lt;&lt;&lt;&gt;&gt;&gt; HorsePower-Hours </v>
      </c>
      <c r="W59" t="s">
        <v>1142</v>
      </c>
      <c r="X59" t="s">
        <v>1137</v>
      </c>
      <c r="Y59">
        <v>0.0003929</v>
      </c>
    </row>
    <row r="60" spans="1:25" ht="15">
      <c r="A60"/>
      <c r="B60" s="328">
        <v>0.0335</v>
      </c>
      <c r="C60" s="183"/>
      <c r="D60" s="329">
        <v>0.85</v>
      </c>
      <c r="F60" s="330">
        <v>0.041</v>
      </c>
      <c r="G60" s="331">
        <v>59</v>
      </c>
      <c r="L60" s="331" t="s">
        <v>149</v>
      </c>
      <c r="M60" s="330">
        <v>0.9219</v>
      </c>
      <c r="O60" s="330">
        <v>0.08070000000000001</v>
      </c>
      <c r="P60" s="332">
        <v>2.05</v>
      </c>
      <c r="Q60" s="330">
        <v>0.3858</v>
      </c>
      <c r="R60" s="332">
        <v>9.8</v>
      </c>
      <c r="V60" t="str">
        <f t="shared" si="0"/>
        <v>BTU/Hour  &lt;&lt;&lt;&gt;&gt;&gt; Watts </v>
      </c>
      <c r="W60" t="s">
        <v>1142</v>
      </c>
      <c r="X60" t="s">
        <v>229</v>
      </c>
      <c r="Y60">
        <v>0.2931</v>
      </c>
    </row>
    <row r="61" spans="1:25" ht="15">
      <c r="A61"/>
      <c r="B61" s="328">
        <v>0.035</v>
      </c>
      <c r="C61" s="183">
        <v>65</v>
      </c>
      <c r="D61" s="329"/>
      <c r="F61" s="330">
        <v>0.04</v>
      </c>
      <c r="G61" s="331">
        <v>60</v>
      </c>
      <c r="L61" s="331" t="s">
        <v>151</v>
      </c>
      <c r="M61" s="330">
        <v>0.9375</v>
      </c>
      <c r="O61" s="330">
        <v>0.08270000000000001</v>
      </c>
      <c r="P61" s="332">
        <v>2.1</v>
      </c>
      <c r="Q61" s="330">
        <v>0.3839</v>
      </c>
      <c r="R61" s="332">
        <v>9.75</v>
      </c>
      <c r="V61" t="str">
        <f t="shared" si="0"/>
        <v>BTU/Minute  &lt;&lt;&lt;&gt;&gt;&gt; Foot-lbs/Second </v>
      </c>
      <c r="W61" t="s">
        <v>230</v>
      </c>
      <c r="X61" t="s">
        <v>231</v>
      </c>
      <c r="Y61">
        <v>12.96</v>
      </c>
    </row>
    <row r="62" spans="1:25" ht="15">
      <c r="A62"/>
      <c r="B62" s="328">
        <v>0.0354</v>
      </c>
      <c r="C62" s="183"/>
      <c r="D62" s="329">
        <v>0.9</v>
      </c>
      <c r="F62" s="330">
        <v>0.039</v>
      </c>
      <c r="G62" s="331">
        <v>61</v>
      </c>
      <c r="L62" s="331" t="s">
        <v>153</v>
      </c>
      <c r="M62" s="330">
        <v>0.9531</v>
      </c>
      <c r="O62" s="330">
        <v>0.08460000000000001</v>
      </c>
      <c r="P62" s="332">
        <v>2.15</v>
      </c>
      <c r="Q62" s="330">
        <v>0.3819</v>
      </c>
      <c r="R62" s="332">
        <v>9.7</v>
      </c>
      <c r="V62" t="str">
        <f t="shared" si="0"/>
        <v>BTU/Minute  &lt;&lt;&lt;&gt;&gt;&gt; HorsePower </v>
      </c>
      <c r="W62" t="s">
        <v>230</v>
      </c>
      <c r="X62" t="s">
        <v>232</v>
      </c>
      <c r="Y62">
        <v>0.02356</v>
      </c>
    </row>
    <row r="63" spans="1:25" ht="15">
      <c r="A63"/>
      <c r="B63" s="328">
        <v>0.036</v>
      </c>
      <c r="C63" s="183">
        <v>64</v>
      </c>
      <c r="D63" s="329"/>
      <c r="F63" s="330">
        <v>0.038</v>
      </c>
      <c r="G63" s="331">
        <v>62</v>
      </c>
      <c r="L63" s="331" t="s">
        <v>156</v>
      </c>
      <c r="M63" s="330">
        <v>0.9688</v>
      </c>
      <c r="O63" s="330">
        <v>0.08660000000000001</v>
      </c>
      <c r="P63" s="332">
        <v>2.2</v>
      </c>
      <c r="Q63" s="330">
        <v>0.378</v>
      </c>
      <c r="R63" s="332">
        <v>9.6</v>
      </c>
      <c r="V63" t="str">
        <f t="shared" si="0"/>
        <v>BTU/Minute  &lt;&lt;&lt;&gt;&gt;&gt; Kilowatts </v>
      </c>
      <c r="W63" t="s">
        <v>230</v>
      </c>
      <c r="X63" t="s">
        <v>233</v>
      </c>
      <c r="Y63">
        <v>0.01757</v>
      </c>
    </row>
    <row r="64" spans="1:25" ht="15">
      <c r="A64"/>
      <c r="B64" s="328">
        <v>0.037</v>
      </c>
      <c r="C64" s="183">
        <v>63</v>
      </c>
      <c r="D64" s="329"/>
      <c r="F64" s="330">
        <v>0.037</v>
      </c>
      <c r="G64" s="331">
        <v>63</v>
      </c>
      <c r="L64" s="331" t="s">
        <v>161</v>
      </c>
      <c r="M64" s="330">
        <v>0.9844</v>
      </c>
      <c r="O64" s="330">
        <v>0.0886</v>
      </c>
      <c r="P64" s="332">
        <v>2.25</v>
      </c>
      <c r="Q64" s="330">
        <v>0.374</v>
      </c>
      <c r="R64" s="332">
        <v>9.5</v>
      </c>
      <c r="V64" t="str">
        <f t="shared" si="0"/>
        <v>BTU/Minute  &lt;&lt;&lt;&gt;&gt;&gt; Watts </v>
      </c>
      <c r="W64" t="s">
        <v>230</v>
      </c>
      <c r="X64" t="s">
        <v>229</v>
      </c>
      <c r="Y64">
        <v>17.57</v>
      </c>
    </row>
    <row r="65" spans="1:25" ht="15">
      <c r="A65"/>
      <c r="B65" s="328">
        <v>0.0374</v>
      </c>
      <c r="C65" s="183"/>
      <c r="D65" s="329">
        <v>0.95</v>
      </c>
      <c r="F65" s="330">
        <v>0.036</v>
      </c>
      <c r="G65" s="331">
        <v>64</v>
      </c>
      <c r="L65" s="331" t="s">
        <v>163</v>
      </c>
      <c r="M65" s="330">
        <v>1</v>
      </c>
      <c r="O65" s="330">
        <v>0.0906</v>
      </c>
      <c r="P65" s="332">
        <v>2.3</v>
      </c>
      <c r="Q65" s="330">
        <v>0.3701</v>
      </c>
      <c r="R65" s="332">
        <v>9.4</v>
      </c>
      <c r="V65" t="str">
        <f t="shared" si="0"/>
        <v>BTU/Square Foot/Minute  &lt;&lt;&lt;&gt;&gt;&gt; watts/Square in </v>
      </c>
      <c r="W65" t="s">
        <v>234</v>
      </c>
      <c r="X65" t="s">
        <v>235</v>
      </c>
      <c r="Y65">
        <v>0.1221</v>
      </c>
    </row>
    <row r="66" spans="1:25" ht="15">
      <c r="A66"/>
      <c r="B66" s="328">
        <v>0.038</v>
      </c>
      <c r="C66" s="183">
        <v>62</v>
      </c>
      <c r="D66" s="329"/>
      <c r="F66" s="330">
        <v>0.035</v>
      </c>
      <c r="G66" s="331">
        <v>65</v>
      </c>
      <c r="L66" s="331" t="s">
        <v>166</v>
      </c>
      <c r="M66" s="330">
        <v>1.0156</v>
      </c>
      <c r="O66" s="330">
        <v>0.0925</v>
      </c>
      <c r="P66" s="332">
        <v>2.35</v>
      </c>
      <c r="Q66" s="330">
        <v>0.3661</v>
      </c>
      <c r="R66" s="332">
        <v>9.3</v>
      </c>
      <c r="V66" t="str">
        <f t="shared" si="0"/>
        <v>Bushels  &lt;&lt;&lt;&gt;&gt;&gt; Cubic Feet </v>
      </c>
      <c r="W66" t="s">
        <v>236</v>
      </c>
      <c r="X66" t="s">
        <v>1093</v>
      </c>
      <c r="Y66">
        <v>1.2445</v>
      </c>
    </row>
    <row r="67" spans="1:25" ht="15">
      <c r="A67"/>
      <c r="B67" s="328">
        <v>0.039</v>
      </c>
      <c r="C67" s="183">
        <v>61</v>
      </c>
      <c r="D67" s="329"/>
      <c r="F67" s="330">
        <v>0.033</v>
      </c>
      <c r="G67" s="331">
        <v>66</v>
      </c>
      <c r="L67" s="331" t="s">
        <v>168</v>
      </c>
      <c r="M67" s="330">
        <v>1.0312</v>
      </c>
      <c r="O67" s="330">
        <v>0.0945</v>
      </c>
      <c r="P67" s="332">
        <v>2.4</v>
      </c>
      <c r="Q67" s="330">
        <v>0.3642</v>
      </c>
      <c r="R67" s="332">
        <v>9.25</v>
      </c>
      <c r="V67" t="str">
        <f aca="true" t="shared" si="1" ref="V67:V130">IF(W67="","",W67&amp;" &lt;&lt;&lt;&gt;&gt;&gt; "&amp;X67)</f>
        <v>Bushels  &lt;&lt;&lt;&gt;&gt;&gt; Cubic Inches </v>
      </c>
      <c r="W67" t="s">
        <v>236</v>
      </c>
      <c r="X67" t="s">
        <v>237</v>
      </c>
      <c r="Y67">
        <v>2150.4</v>
      </c>
    </row>
    <row r="68" spans="1:25" ht="15">
      <c r="A68"/>
      <c r="B68" s="328">
        <v>0.0394</v>
      </c>
      <c r="C68" s="183"/>
      <c r="D68" s="329">
        <v>1</v>
      </c>
      <c r="F68" s="330">
        <v>0.032</v>
      </c>
      <c r="G68" s="331">
        <v>67</v>
      </c>
      <c r="L68" s="331" t="s">
        <v>171</v>
      </c>
      <c r="M68" s="330">
        <v>1.0469</v>
      </c>
      <c r="O68" s="330">
        <v>0.0965</v>
      </c>
      <c r="P68" s="332">
        <v>2.45</v>
      </c>
      <c r="Q68" s="330">
        <v>0.3622</v>
      </c>
      <c r="R68" s="332">
        <v>9.2</v>
      </c>
      <c r="V68" t="str">
        <f t="shared" si="1"/>
        <v>Bushels  &lt;&lt;&lt;&gt;&gt;&gt; Cubic Meters </v>
      </c>
      <c r="W68" t="s">
        <v>236</v>
      </c>
      <c r="X68" t="s">
        <v>238</v>
      </c>
      <c r="Y68">
        <v>0.03524</v>
      </c>
    </row>
    <row r="69" spans="2:25" ht="15">
      <c r="B69" s="339">
        <v>0.04</v>
      </c>
      <c r="C69" s="340">
        <v>60</v>
      </c>
      <c r="F69" s="330">
        <v>0.031</v>
      </c>
      <c r="G69" s="331">
        <v>68</v>
      </c>
      <c r="L69" s="331" t="s">
        <v>173</v>
      </c>
      <c r="M69" s="330">
        <v>1.0625</v>
      </c>
      <c r="O69" s="330">
        <v>0.0984</v>
      </c>
      <c r="P69" s="332">
        <v>2.5</v>
      </c>
      <c r="Q69" s="330">
        <v>0.3583</v>
      </c>
      <c r="R69" s="332">
        <v>9.1</v>
      </c>
      <c r="V69" t="str">
        <f t="shared" si="1"/>
        <v>Bushels  &lt;&lt;&lt;&gt;&gt;&gt; Liters </v>
      </c>
      <c r="W69" t="s">
        <v>236</v>
      </c>
      <c r="X69" t="s">
        <v>239</v>
      </c>
      <c r="Y69">
        <v>35.24</v>
      </c>
    </row>
    <row r="70" spans="2:25" ht="15">
      <c r="B70" s="339">
        <v>0.041</v>
      </c>
      <c r="C70" s="340">
        <v>59</v>
      </c>
      <c r="F70" s="330">
        <v>0.0292</v>
      </c>
      <c r="G70" s="331">
        <v>69</v>
      </c>
      <c r="L70" s="331" t="s">
        <v>176</v>
      </c>
      <c r="M70" s="330">
        <v>1.0781</v>
      </c>
      <c r="O70" s="330">
        <v>0.1024</v>
      </c>
      <c r="P70" s="332">
        <v>2.6</v>
      </c>
      <c r="Q70" s="330">
        <v>0.3543</v>
      </c>
      <c r="R70" s="332">
        <v>9</v>
      </c>
      <c r="V70" t="str">
        <f t="shared" si="1"/>
        <v>Bushels  &lt;&lt;&lt;&gt;&gt;&gt; Pecks </v>
      </c>
      <c r="W70" t="s">
        <v>236</v>
      </c>
      <c r="X70" t="s">
        <v>240</v>
      </c>
      <c r="Y70">
        <v>4</v>
      </c>
    </row>
    <row r="71" spans="2:25" ht="15">
      <c r="B71" s="339">
        <v>0.0413</v>
      </c>
      <c r="D71" s="1">
        <v>1.05</v>
      </c>
      <c r="F71" s="330">
        <v>0.028</v>
      </c>
      <c r="G71" s="331">
        <v>70</v>
      </c>
      <c r="L71" s="331" t="s">
        <v>181</v>
      </c>
      <c r="M71" s="330">
        <v>1.0938</v>
      </c>
      <c r="O71" s="330">
        <v>0.1063</v>
      </c>
      <c r="P71" s="332">
        <v>2.7</v>
      </c>
      <c r="Q71" s="330">
        <v>0.3504</v>
      </c>
      <c r="R71" s="332">
        <v>8.9</v>
      </c>
      <c r="V71" t="str">
        <f t="shared" si="1"/>
        <v>Bushels  &lt;&lt;&lt;&gt;&gt;&gt; Pint (dry) </v>
      </c>
      <c r="W71" t="s">
        <v>236</v>
      </c>
      <c r="X71" t="s">
        <v>241</v>
      </c>
      <c r="Y71">
        <v>64</v>
      </c>
    </row>
    <row r="72" spans="2:25" ht="15">
      <c r="B72" s="339">
        <v>0.042</v>
      </c>
      <c r="C72" s="340">
        <v>58</v>
      </c>
      <c r="F72" s="330">
        <v>0.026</v>
      </c>
      <c r="G72" s="331">
        <v>71</v>
      </c>
      <c r="L72" s="331" t="s">
        <v>184</v>
      </c>
      <c r="M72" s="330">
        <v>1.1094</v>
      </c>
      <c r="O72" s="330">
        <v>0.1083</v>
      </c>
      <c r="P72" s="332">
        <v>2.75</v>
      </c>
      <c r="Q72" s="330">
        <v>0.34650000000000003</v>
      </c>
      <c r="R72" s="332">
        <v>8.8</v>
      </c>
      <c r="V72" t="str">
        <f t="shared" si="1"/>
        <v>Bushels  &lt;&lt;&lt;&gt;&gt;&gt; Quarts (dry) </v>
      </c>
      <c r="W72" t="s">
        <v>236</v>
      </c>
      <c r="X72" t="s">
        <v>1122</v>
      </c>
      <c r="Y72">
        <v>32</v>
      </c>
    </row>
    <row r="73" spans="2:25" ht="15">
      <c r="B73" s="339">
        <v>0.043000000000000003</v>
      </c>
      <c r="C73" s="340">
        <v>57</v>
      </c>
      <c r="F73" s="330">
        <v>0.025</v>
      </c>
      <c r="G73" s="331">
        <v>72</v>
      </c>
      <c r="L73" s="331" t="s">
        <v>187</v>
      </c>
      <c r="M73" s="330">
        <v>1.125</v>
      </c>
      <c r="O73" s="330">
        <v>0.1102</v>
      </c>
      <c r="P73" s="332">
        <v>2.8</v>
      </c>
      <c r="Q73" s="330">
        <v>0.34450000000000003</v>
      </c>
      <c r="R73" s="332">
        <v>8.75</v>
      </c>
      <c r="V73" t="str">
        <f t="shared" si="1"/>
        <v>Calorie  &lt;&lt;&lt;&gt;&gt;&gt; HorsePower-hour </v>
      </c>
      <c r="W73" t="s">
        <v>242</v>
      </c>
      <c r="X73" t="s">
        <v>243</v>
      </c>
      <c r="Y73">
        <v>1.56E-06</v>
      </c>
    </row>
    <row r="74" spans="2:25" ht="15">
      <c r="B74" s="339">
        <v>0.043300000000000005</v>
      </c>
      <c r="D74" s="1">
        <v>1.1</v>
      </c>
      <c r="F74" s="330">
        <v>0.024</v>
      </c>
      <c r="G74" s="331">
        <v>73</v>
      </c>
      <c r="L74" s="331" t="s">
        <v>190</v>
      </c>
      <c r="M74" s="330">
        <v>1.1406</v>
      </c>
      <c r="O74" s="330">
        <v>0.1142</v>
      </c>
      <c r="P74" s="332">
        <v>2.9</v>
      </c>
      <c r="Q74" s="330">
        <v>0.3425</v>
      </c>
      <c r="R74" s="332">
        <v>8.7</v>
      </c>
      <c r="V74" t="str">
        <f t="shared" si="1"/>
        <v>Calorie  &lt;&lt;&lt;&gt;&gt;&gt; HorsePower-hour (metric) </v>
      </c>
      <c r="W74" t="s">
        <v>242</v>
      </c>
      <c r="X74" t="s">
        <v>244</v>
      </c>
      <c r="Y74">
        <v>1.58E-06</v>
      </c>
    </row>
    <row r="75" spans="2:25" ht="15">
      <c r="B75" s="339">
        <v>0.0453</v>
      </c>
      <c r="D75" s="1">
        <v>1.15</v>
      </c>
      <c r="F75" s="330">
        <v>0.0225</v>
      </c>
      <c r="G75" s="331">
        <v>74</v>
      </c>
      <c r="L75" s="331" t="s">
        <v>192</v>
      </c>
      <c r="M75" s="330">
        <v>1.1562</v>
      </c>
      <c r="O75" s="330">
        <v>0.1181</v>
      </c>
      <c r="P75" s="332">
        <v>3</v>
      </c>
      <c r="Q75" s="330">
        <v>0.3386</v>
      </c>
      <c r="R75" s="332">
        <v>8.6</v>
      </c>
      <c r="V75" t="str">
        <f t="shared" si="1"/>
        <v>Calorie  &lt;&lt;&lt;&gt;&gt;&gt; Joule </v>
      </c>
      <c r="W75" t="s">
        <v>242</v>
      </c>
      <c r="X75" t="s">
        <v>245</v>
      </c>
      <c r="Y75">
        <v>4.1868</v>
      </c>
    </row>
    <row r="76" spans="2:25" ht="15">
      <c r="B76" s="339">
        <v>0.0465</v>
      </c>
      <c r="C76" s="340">
        <v>56</v>
      </c>
      <c r="F76" s="330">
        <v>0.021</v>
      </c>
      <c r="G76" s="331">
        <v>75</v>
      </c>
      <c r="L76" s="331" t="s">
        <v>195</v>
      </c>
      <c r="M76" s="330">
        <v>1.1719</v>
      </c>
      <c r="O76" s="330">
        <v>0.122</v>
      </c>
      <c r="P76" s="332">
        <v>3.1</v>
      </c>
      <c r="Q76" s="330">
        <v>0.3346</v>
      </c>
      <c r="R76" s="332">
        <v>8.5</v>
      </c>
      <c r="V76" t="str">
        <f t="shared" si="1"/>
        <v>Calorie  &lt;&lt;&lt;&gt;&gt;&gt; Kilowatt-hour </v>
      </c>
      <c r="W76" t="s">
        <v>242</v>
      </c>
      <c r="X76" t="s">
        <v>246</v>
      </c>
      <c r="Y76">
        <v>1.16E-06</v>
      </c>
    </row>
    <row r="77" spans="1:25" ht="15">
      <c r="A77" s="183" t="s">
        <v>157</v>
      </c>
      <c r="B77" s="339">
        <v>0.046900000000000004</v>
      </c>
      <c r="F77" s="330">
        <v>0.02</v>
      </c>
      <c r="G77" s="331">
        <v>76</v>
      </c>
      <c r="L77" s="331" t="s">
        <v>199</v>
      </c>
      <c r="M77" s="330">
        <v>1.1875</v>
      </c>
      <c r="O77" s="330">
        <v>0.126</v>
      </c>
      <c r="P77" s="332">
        <v>3.2</v>
      </c>
      <c r="Q77" s="330">
        <v>0.3307</v>
      </c>
      <c r="R77" s="332">
        <v>8.4</v>
      </c>
      <c r="V77" t="str">
        <f t="shared" si="1"/>
        <v>Calorie, Gram (mean)  &lt;&lt;&lt;&gt;&gt;&gt; BTU (mean) </v>
      </c>
      <c r="W77" t="s">
        <v>247</v>
      </c>
      <c r="X77" t="s">
        <v>248</v>
      </c>
      <c r="Y77">
        <v>0.00396832</v>
      </c>
    </row>
    <row r="78" spans="2:25" ht="15">
      <c r="B78" s="339">
        <v>0.0472</v>
      </c>
      <c r="D78" s="1">
        <v>1.2</v>
      </c>
      <c r="F78" s="330">
        <v>0.018</v>
      </c>
      <c r="G78" s="331">
        <v>77</v>
      </c>
      <c r="L78" s="331" t="s">
        <v>203</v>
      </c>
      <c r="M78" s="330">
        <v>1.2031</v>
      </c>
      <c r="O78" s="330">
        <v>0.128</v>
      </c>
      <c r="P78" s="332">
        <v>3.25</v>
      </c>
      <c r="Q78" s="330">
        <v>0.3268</v>
      </c>
      <c r="R78" s="332">
        <v>8.3</v>
      </c>
      <c r="V78" t="str">
        <f t="shared" si="1"/>
        <v>Candle/Square Centimeters  &lt;&lt;&lt;&gt;&gt;&gt; Lamberts </v>
      </c>
      <c r="W78" t="s">
        <v>249</v>
      </c>
      <c r="X78" t="s">
        <v>250</v>
      </c>
      <c r="Y78">
        <v>3.142</v>
      </c>
    </row>
    <row r="79" spans="2:25" ht="15">
      <c r="B79" s="339">
        <v>0.0492</v>
      </c>
      <c r="D79" s="1">
        <v>1.25</v>
      </c>
      <c r="F79" s="330">
        <v>0.016</v>
      </c>
      <c r="G79" s="331">
        <v>78</v>
      </c>
      <c r="L79" s="331" t="s">
        <v>205</v>
      </c>
      <c r="M79" s="330">
        <v>1.2188</v>
      </c>
      <c r="O79" s="330">
        <v>0.1299</v>
      </c>
      <c r="P79" s="332">
        <v>3.3</v>
      </c>
      <c r="Q79" s="330">
        <v>0.3248</v>
      </c>
      <c r="R79" s="332">
        <v>8.25</v>
      </c>
      <c r="V79" t="str">
        <f t="shared" si="1"/>
        <v>Candle/Square Inch  &lt;&lt;&lt;&gt;&gt;&gt; Lamberts </v>
      </c>
      <c r="W79" t="s">
        <v>251</v>
      </c>
      <c r="X79" t="s">
        <v>250</v>
      </c>
      <c r="Y79">
        <v>0.487</v>
      </c>
    </row>
    <row r="80" spans="2:25" ht="15">
      <c r="B80" s="339">
        <v>0.0512</v>
      </c>
      <c r="D80" s="1">
        <v>1.3</v>
      </c>
      <c r="F80" s="330">
        <v>0.0145</v>
      </c>
      <c r="G80" s="331">
        <v>79</v>
      </c>
      <c r="L80" s="331" t="s">
        <v>208</v>
      </c>
      <c r="M80" s="330">
        <v>1.2344</v>
      </c>
      <c r="O80" s="330">
        <v>0.1339</v>
      </c>
      <c r="P80" s="332">
        <v>3.4</v>
      </c>
      <c r="Q80" s="330">
        <v>0.3228</v>
      </c>
      <c r="R80" s="332">
        <v>8.2</v>
      </c>
      <c r="V80" t="str">
        <f t="shared" si="1"/>
        <v>Centares (centiares)  &lt;&lt;&lt;&gt;&gt;&gt; Square Meters </v>
      </c>
      <c r="W80" t="s">
        <v>252</v>
      </c>
      <c r="X80" t="s">
        <v>1098</v>
      </c>
      <c r="Y80">
        <v>1</v>
      </c>
    </row>
    <row r="81" spans="2:25" ht="15">
      <c r="B81" s="339">
        <v>0.052000000000000005</v>
      </c>
      <c r="C81" s="340">
        <v>55</v>
      </c>
      <c r="F81" s="330">
        <v>0.0135</v>
      </c>
      <c r="G81" s="331">
        <v>80</v>
      </c>
      <c r="L81" s="331" t="s">
        <v>210</v>
      </c>
      <c r="M81" s="330">
        <v>1.25</v>
      </c>
      <c r="O81" s="330">
        <v>0.1378</v>
      </c>
      <c r="P81" s="332">
        <v>3.5</v>
      </c>
      <c r="Q81" s="330">
        <v>0.3189</v>
      </c>
      <c r="R81" s="332">
        <v>8.1</v>
      </c>
      <c r="V81" t="str">
        <f t="shared" si="1"/>
        <v>Centigrams  &lt;&lt;&lt;&gt;&gt;&gt; Grams </v>
      </c>
      <c r="W81" t="s">
        <v>253</v>
      </c>
      <c r="X81" t="s">
        <v>254</v>
      </c>
      <c r="Y81">
        <v>0.01</v>
      </c>
    </row>
    <row r="82" spans="2:25" ht="15">
      <c r="B82" s="339">
        <v>0.0531</v>
      </c>
      <c r="D82" s="1">
        <v>1.35</v>
      </c>
      <c r="F82" s="330">
        <v>0.013</v>
      </c>
      <c r="G82" s="331">
        <v>81</v>
      </c>
      <c r="L82" s="331" t="s">
        <v>213</v>
      </c>
      <c r="M82" s="330">
        <v>1.2656</v>
      </c>
      <c r="O82" s="330">
        <v>0.1417</v>
      </c>
      <c r="P82" s="332">
        <v>3.6</v>
      </c>
      <c r="Q82" s="330">
        <v>0.315</v>
      </c>
      <c r="R82" s="332">
        <v>8</v>
      </c>
      <c r="V82" t="str">
        <f t="shared" si="1"/>
        <v>Centiliter  &lt;&lt;&lt;&gt;&gt;&gt; Ounce fluid (US) </v>
      </c>
      <c r="W82" t="s">
        <v>255</v>
      </c>
      <c r="X82" t="s">
        <v>256</v>
      </c>
      <c r="Y82">
        <v>0.3382</v>
      </c>
    </row>
    <row r="83" spans="2:25" ht="15">
      <c r="B83" s="339">
        <v>0.055</v>
      </c>
      <c r="C83" s="340">
        <v>54</v>
      </c>
      <c r="F83" s="330">
        <v>0.0125</v>
      </c>
      <c r="G83" s="331">
        <v>82</v>
      </c>
      <c r="L83" s="331" t="s">
        <v>217</v>
      </c>
      <c r="M83" s="330">
        <v>1.2812</v>
      </c>
      <c r="O83" s="330">
        <v>0.1457</v>
      </c>
      <c r="P83" s="332">
        <v>3.7</v>
      </c>
      <c r="Q83" s="330">
        <v>0.311</v>
      </c>
      <c r="R83" s="332">
        <v>7.9</v>
      </c>
      <c r="V83" t="str">
        <f t="shared" si="1"/>
        <v>Centiliters  &lt;&lt;&lt;&gt;&gt;&gt; Liters </v>
      </c>
      <c r="W83" t="s">
        <v>257</v>
      </c>
      <c r="X83" t="s">
        <v>239</v>
      </c>
      <c r="Y83">
        <v>0.01</v>
      </c>
    </row>
    <row r="84" spans="2:25" ht="15">
      <c r="B84" s="339">
        <v>0.0551</v>
      </c>
      <c r="D84" s="1">
        <v>1.4</v>
      </c>
      <c r="F84" s="330">
        <v>0.012</v>
      </c>
      <c r="G84" s="331">
        <v>83</v>
      </c>
      <c r="L84" s="331" t="s">
        <v>219</v>
      </c>
      <c r="M84" s="330">
        <v>1.2969</v>
      </c>
      <c r="O84" s="330">
        <v>0.1476</v>
      </c>
      <c r="P84" s="332">
        <v>3.75</v>
      </c>
      <c r="Q84" s="330">
        <v>0.3071</v>
      </c>
      <c r="R84" s="332">
        <v>7.8</v>
      </c>
      <c r="V84" t="str">
        <f t="shared" si="1"/>
        <v>Centimeter-Dynes &lt;&lt;&lt;&gt;&gt;&gt; Meter-kgs</v>
      </c>
      <c r="W84" t="s">
        <v>258</v>
      </c>
      <c r="X84" t="s">
        <v>259</v>
      </c>
      <c r="Y84">
        <v>1.02E-08</v>
      </c>
    </row>
    <row r="85" spans="2:25" ht="15">
      <c r="B85" s="339">
        <v>0.057100000000000005</v>
      </c>
      <c r="D85" s="1">
        <v>1.45</v>
      </c>
      <c r="F85" s="330">
        <v>0.0115</v>
      </c>
      <c r="G85" s="331">
        <v>84</v>
      </c>
      <c r="L85" s="331" t="s">
        <v>222</v>
      </c>
      <c r="M85" s="330">
        <v>1.3125</v>
      </c>
      <c r="O85" s="330">
        <v>0.1496</v>
      </c>
      <c r="P85" s="332">
        <v>3.8</v>
      </c>
      <c r="Q85" s="330">
        <v>0.3051</v>
      </c>
      <c r="R85" s="332">
        <v>7.75</v>
      </c>
      <c r="V85" t="str">
        <f t="shared" si="1"/>
        <v>Centimeter-Dynes &lt;&lt;&lt;&gt;&gt;&gt; Pound-Feet</v>
      </c>
      <c r="W85" t="s">
        <v>258</v>
      </c>
      <c r="X85" t="s">
        <v>260</v>
      </c>
      <c r="Y85">
        <v>7.38E-08</v>
      </c>
    </row>
    <row r="86" spans="2:25" ht="15">
      <c r="B86" s="339">
        <v>0.0591</v>
      </c>
      <c r="D86" s="1">
        <v>1.5</v>
      </c>
      <c r="F86" s="330">
        <v>0.011</v>
      </c>
      <c r="G86" s="331">
        <v>85</v>
      </c>
      <c r="L86" s="331" t="s">
        <v>224</v>
      </c>
      <c r="M86" s="330">
        <v>1.3281</v>
      </c>
      <c r="O86" s="330">
        <v>0.1535</v>
      </c>
      <c r="P86" s="332">
        <v>3.9</v>
      </c>
      <c r="Q86" s="330">
        <v>0.3031</v>
      </c>
      <c r="R86" s="332">
        <v>7.7</v>
      </c>
      <c r="V86" t="str">
        <f t="shared" si="1"/>
        <v>Centimeters &lt;&lt;&lt;&gt;&gt;&gt; Feet</v>
      </c>
      <c r="W86" t="s">
        <v>60</v>
      </c>
      <c r="X86" t="s">
        <v>62</v>
      </c>
      <c r="Y86">
        <v>0.0328084</v>
      </c>
    </row>
    <row r="87" spans="2:25" ht="15">
      <c r="B87" s="339">
        <v>0.059500000000000004</v>
      </c>
      <c r="C87" s="340">
        <v>53</v>
      </c>
      <c r="F87" s="330">
        <v>0.0105</v>
      </c>
      <c r="G87" s="331">
        <v>86</v>
      </c>
      <c r="L87" s="331" t="s">
        <v>919</v>
      </c>
      <c r="M87" s="330">
        <v>1.3438</v>
      </c>
      <c r="O87" s="330">
        <v>0.1575</v>
      </c>
      <c r="P87" s="332">
        <v>4</v>
      </c>
      <c r="Q87" s="330">
        <v>0.2992</v>
      </c>
      <c r="R87" s="332">
        <v>7.6</v>
      </c>
      <c r="V87" t="str">
        <f t="shared" si="1"/>
        <v>Centimeters &lt;&lt;&lt;&gt;&gt;&gt; Inches</v>
      </c>
      <c r="W87" t="s">
        <v>60</v>
      </c>
      <c r="X87" t="s">
        <v>56</v>
      </c>
      <c r="Y87">
        <v>0.3937008</v>
      </c>
    </row>
    <row r="88" spans="2:25" ht="15">
      <c r="B88" s="339">
        <v>0.061000000000000006</v>
      </c>
      <c r="D88" s="1">
        <v>1.55</v>
      </c>
      <c r="F88" s="330">
        <v>0.01</v>
      </c>
      <c r="G88" s="331">
        <v>87</v>
      </c>
      <c r="L88" s="331" t="s">
        <v>923</v>
      </c>
      <c r="M88" s="330">
        <v>1.3594</v>
      </c>
      <c r="O88" s="330">
        <v>0.1614</v>
      </c>
      <c r="P88" s="332">
        <v>4.1</v>
      </c>
      <c r="Q88" s="330">
        <v>0.2953</v>
      </c>
      <c r="R88" s="332">
        <v>7.5</v>
      </c>
      <c r="V88" t="str">
        <f t="shared" si="1"/>
        <v>Centimeters &lt;&lt;&lt;&gt;&gt;&gt; Kilometers</v>
      </c>
      <c r="W88" t="s">
        <v>60</v>
      </c>
      <c r="X88" t="s">
        <v>70</v>
      </c>
      <c r="Y88">
        <v>1E-05</v>
      </c>
    </row>
    <row r="89" spans="1:25" ht="15">
      <c r="A89" s="183" t="s">
        <v>177</v>
      </c>
      <c r="B89" s="339">
        <v>0.0625</v>
      </c>
      <c r="F89" s="330">
        <v>0.0095</v>
      </c>
      <c r="G89" s="331">
        <v>88</v>
      </c>
      <c r="L89" s="331" t="s">
        <v>925</v>
      </c>
      <c r="M89" s="330">
        <v>1.375</v>
      </c>
      <c r="O89" s="330">
        <v>0.1654</v>
      </c>
      <c r="P89" s="332">
        <v>4.2</v>
      </c>
      <c r="Q89" s="330">
        <v>0.2913</v>
      </c>
      <c r="R89" s="332">
        <v>7.4</v>
      </c>
      <c r="V89" t="str">
        <f t="shared" si="1"/>
        <v>Centimeters &lt;&lt;&lt;&gt;&gt;&gt; Meters</v>
      </c>
      <c r="W89" t="s">
        <v>60</v>
      </c>
      <c r="X89" t="s">
        <v>64</v>
      </c>
      <c r="Y89">
        <v>0.01</v>
      </c>
    </row>
    <row r="90" spans="2:25" ht="15">
      <c r="B90" s="339">
        <v>0.063</v>
      </c>
      <c r="D90" s="1">
        <v>1.6</v>
      </c>
      <c r="F90" s="330">
        <v>0.0091</v>
      </c>
      <c r="G90" s="331">
        <v>89</v>
      </c>
      <c r="L90" s="331" t="s">
        <v>928</v>
      </c>
      <c r="M90" s="330">
        <v>1.3906</v>
      </c>
      <c r="O90" s="330">
        <v>0.1673</v>
      </c>
      <c r="P90" s="332">
        <v>4.25</v>
      </c>
      <c r="Q90" s="330">
        <v>0.2874</v>
      </c>
      <c r="R90" s="332">
        <v>7.3</v>
      </c>
      <c r="V90" t="str">
        <f t="shared" si="1"/>
        <v>Centimeters &lt;&lt;&lt;&gt;&gt;&gt; Miles</v>
      </c>
      <c r="W90" t="s">
        <v>60</v>
      </c>
      <c r="X90" t="s">
        <v>68</v>
      </c>
      <c r="Y90">
        <v>6.21E-06</v>
      </c>
    </row>
    <row r="91" spans="2:25" ht="15">
      <c r="B91" s="339">
        <v>0.0635</v>
      </c>
      <c r="C91" s="340">
        <v>52</v>
      </c>
      <c r="F91" s="330">
        <v>0.0087</v>
      </c>
      <c r="G91" s="331">
        <v>90</v>
      </c>
      <c r="L91" s="331" t="s">
        <v>931</v>
      </c>
      <c r="M91" s="330">
        <v>1.4062</v>
      </c>
      <c r="O91" s="330">
        <v>0.1693</v>
      </c>
      <c r="P91" s="332">
        <v>4.3</v>
      </c>
      <c r="Q91" s="330">
        <v>0.2854</v>
      </c>
      <c r="R91" s="332">
        <v>7.25</v>
      </c>
      <c r="V91" t="str">
        <f t="shared" si="1"/>
        <v>Centimeters &lt;&lt;&lt;&gt;&gt;&gt; Millimeters</v>
      </c>
      <c r="W91" t="s">
        <v>60</v>
      </c>
      <c r="X91" t="s">
        <v>58</v>
      </c>
      <c r="Y91">
        <v>10</v>
      </c>
    </row>
    <row r="92" spans="2:25" ht="15">
      <c r="B92" s="339">
        <v>0.065</v>
      </c>
      <c r="D92" s="1">
        <v>1.65</v>
      </c>
      <c r="F92" s="330">
        <v>0.0083</v>
      </c>
      <c r="G92" s="331">
        <v>91</v>
      </c>
      <c r="L92" s="331" t="s">
        <v>934</v>
      </c>
      <c r="M92" s="330">
        <v>1.4219</v>
      </c>
      <c r="O92" s="330">
        <v>0.1732</v>
      </c>
      <c r="P92" s="332">
        <v>4.4</v>
      </c>
      <c r="Q92" s="330">
        <v>0.28350000000000003</v>
      </c>
      <c r="R92" s="332">
        <v>7.2</v>
      </c>
      <c r="V92" t="str">
        <f t="shared" si="1"/>
        <v>Centimeters &lt;&lt;&lt;&gt;&gt;&gt; Mils</v>
      </c>
      <c r="W92" t="s">
        <v>60</v>
      </c>
      <c r="X92" t="s">
        <v>261</v>
      </c>
      <c r="Y92">
        <v>393.7</v>
      </c>
    </row>
    <row r="93" spans="2:25" ht="15">
      <c r="B93" s="339">
        <v>0.0669</v>
      </c>
      <c r="D93" s="1">
        <v>1.7</v>
      </c>
      <c r="F93" s="330">
        <v>0.0079</v>
      </c>
      <c r="G93" s="331">
        <v>92</v>
      </c>
      <c r="L93" s="331" t="s">
        <v>936</v>
      </c>
      <c r="M93" s="330">
        <v>1.4375</v>
      </c>
      <c r="O93" s="330">
        <v>0.1772</v>
      </c>
      <c r="P93" s="332">
        <v>4.5</v>
      </c>
      <c r="Q93" s="330">
        <v>0.2795</v>
      </c>
      <c r="R93" s="332">
        <v>7.1</v>
      </c>
      <c r="V93" t="str">
        <f t="shared" si="1"/>
        <v>Centimeters &lt;&lt;&lt;&gt;&gt;&gt; Yards</v>
      </c>
      <c r="W93" t="s">
        <v>60</v>
      </c>
      <c r="X93" t="s">
        <v>65</v>
      </c>
      <c r="Y93">
        <v>0.01094</v>
      </c>
    </row>
    <row r="94" spans="2:25" ht="15">
      <c r="B94" s="339">
        <v>0.067</v>
      </c>
      <c r="C94" s="340">
        <v>51</v>
      </c>
      <c r="F94" s="330">
        <v>0.0075</v>
      </c>
      <c r="G94" s="331">
        <v>93</v>
      </c>
      <c r="L94" s="331" t="s">
        <v>941</v>
      </c>
      <c r="M94" s="330">
        <v>1.4531</v>
      </c>
      <c r="O94" s="330">
        <v>0.1811</v>
      </c>
      <c r="P94" s="332">
        <v>4.6</v>
      </c>
      <c r="Q94" s="330">
        <v>0.2756</v>
      </c>
      <c r="R94" s="332">
        <v>7</v>
      </c>
      <c r="V94" t="str">
        <f t="shared" si="1"/>
        <v>Centimeters of Mercury  &lt;&lt;&lt;&gt;&gt;&gt; Atmospheres </v>
      </c>
      <c r="W94" t="s">
        <v>262</v>
      </c>
      <c r="X94" t="s">
        <v>1107</v>
      </c>
      <c r="Y94">
        <v>0.01316</v>
      </c>
    </row>
    <row r="95" spans="2:25" ht="15">
      <c r="B95" s="339">
        <v>0.0689</v>
      </c>
      <c r="D95" s="1">
        <v>1.75</v>
      </c>
      <c r="F95" s="330">
        <v>0.0071</v>
      </c>
      <c r="G95" s="331">
        <v>94</v>
      </c>
      <c r="L95" s="331" t="s">
        <v>944</v>
      </c>
      <c r="M95" s="330">
        <v>1.4688</v>
      </c>
      <c r="O95" s="330">
        <v>0.185</v>
      </c>
      <c r="P95" s="332">
        <v>4.7</v>
      </c>
      <c r="Q95" s="330">
        <v>0.2717</v>
      </c>
      <c r="R95" s="332">
        <v>6.9</v>
      </c>
      <c r="V95" t="str">
        <f t="shared" si="1"/>
        <v>Centimeters of Mercury  &lt;&lt;&lt;&gt;&gt;&gt; Feet of water </v>
      </c>
      <c r="W95" t="s">
        <v>262</v>
      </c>
      <c r="X95" t="s">
        <v>263</v>
      </c>
      <c r="Y95">
        <v>0.4461</v>
      </c>
    </row>
    <row r="96" spans="2:25" ht="15">
      <c r="B96" s="339">
        <v>0.07</v>
      </c>
      <c r="C96" s="340">
        <v>50</v>
      </c>
      <c r="F96" s="330">
        <v>0.0067</v>
      </c>
      <c r="G96" s="331">
        <v>95</v>
      </c>
      <c r="L96" s="331" t="s">
        <v>946</v>
      </c>
      <c r="M96" s="330">
        <v>1.4844</v>
      </c>
      <c r="O96" s="330">
        <v>0.187</v>
      </c>
      <c r="P96" s="332">
        <v>4.75</v>
      </c>
      <c r="Q96" s="330">
        <v>0.2677</v>
      </c>
      <c r="R96" s="332">
        <v>6.8</v>
      </c>
      <c r="V96" t="str">
        <f t="shared" si="1"/>
        <v>Centimeters of Mercury  &lt;&lt;&lt;&gt;&gt;&gt; Kgs/sq. meter </v>
      </c>
      <c r="W96" t="s">
        <v>262</v>
      </c>
      <c r="X96" t="s">
        <v>1114</v>
      </c>
      <c r="Y96">
        <v>136</v>
      </c>
    </row>
    <row r="97" spans="2:25" ht="15">
      <c r="B97" s="339">
        <v>0.0709</v>
      </c>
      <c r="D97" s="1">
        <v>1.8</v>
      </c>
      <c r="F97" s="330">
        <v>0.0063</v>
      </c>
      <c r="G97" s="331">
        <v>96</v>
      </c>
      <c r="L97" s="331" t="s">
        <v>949</v>
      </c>
      <c r="M97" s="330">
        <v>1.5</v>
      </c>
      <c r="O97" s="330">
        <v>0.189</v>
      </c>
      <c r="P97" s="332">
        <v>4.8</v>
      </c>
      <c r="Q97" s="330">
        <v>0.2657</v>
      </c>
      <c r="R97" s="332">
        <v>6.75</v>
      </c>
      <c r="V97" t="str">
        <f t="shared" si="1"/>
        <v>Centimeters of Mercury  &lt;&lt;&lt;&gt;&gt;&gt; Pounds/sq. Foot </v>
      </c>
      <c r="W97" t="s">
        <v>262</v>
      </c>
      <c r="X97" t="s">
        <v>1129</v>
      </c>
      <c r="Y97">
        <v>27.85</v>
      </c>
    </row>
    <row r="98" spans="2:25" ht="15">
      <c r="B98" s="339">
        <v>0.0728</v>
      </c>
      <c r="D98" s="1">
        <v>1.85</v>
      </c>
      <c r="F98" s="330">
        <v>0.0059</v>
      </c>
      <c r="G98" s="331">
        <v>97</v>
      </c>
      <c r="O98" s="330">
        <v>0.1929</v>
      </c>
      <c r="P98" s="332">
        <v>4.9</v>
      </c>
      <c r="Q98" s="330">
        <v>0.2638</v>
      </c>
      <c r="R98" s="332">
        <v>6.7</v>
      </c>
      <c r="V98" t="str">
        <f t="shared" si="1"/>
        <v>Centimeters of Mercury  &lt;&lt;&lt;&gt;&gt;&gt; Pounds/sq. Inch </v>
      </c>
      <c r="W98" t="s">
        <v>262</v>
      </c>
      <c r="X98" t="s">
        <v>1115</v>
      </c>
      <c r="Y98">
        <v>0.1934</v>
      </c>
    </row>
    <row r="99" spans="2:25" ht="15">
      <c r="B99" s="339">
        <v>0.073</v>
      </c>
      <c r="C99" s="340">
        <v>49</v>
      </c>
      <c r="O99" s="330">
        <v>0.1969</v>
      </c>
      <c r="P99" s="332">
        <v>5</v>
      </c>
      <c r="Q99" s="330">
        <v>0.2598</v>
      </c>
      <c r="R99" s="332">
        <v>6.6</v>
      </c>
      <c r="V99" t="str">
        <f t="shared" si="1"/>
        <v>Centimeters per Minute &lt;&lt;&lt;&gt;&gt;&gt; Inches per Minute</v>
      </c>
      <c r="W99" t="s">
        <v>264</v>
      </c>
      <c r="X99" t="s">
        <v>265</v>
      </c>
      <c r="Y99">
        <v>0.3937008</v>
      </c>
    </row>
    <row r="100" spans="2:25" ht="15">
      <c r="B100" s="339">
        <v>0.0748</v>
      </c>
      <c r="D100" s="1">
        <v>1.9</v>
      </c>
      <c r="F100" s="324" t="s">
        <v>269</v>
      </c>
      <c r="G100" s="324"/>
      <c r="I100" s="324" t="s">
        <v>269</v>
      </c>
      <c r="J100" s="324"/>
      <c r="O100" s="330">
        <v>0.2008</v>
      </c>
      <c r="P100" s="332">
        <v>5.1</v>
      </c>
      <c r="Q100" s="330">
        <v>0.2559</v>
      </c>
      <c r="R100" s="332">
        <v>6.5</v>
      </c>
      <c r="V100" t="str">
        <f t="shared" si="1"/>
        <v>Centimeters per Second &lt;&lt;&lt;&gt;&gt;&gt; Feet per Minute</v>
      </c>
      <c r="W100" t="s">
        <v>266</v>
      </c>
      <c r="X100" t="s">
        <v>267</v>
      </c>
      <c r="Y100">
        <v>1.968504</v>
      </c>
    </row>
    <row r="101" spans="2:25" ht="15">
      <c r="B101" s="339">
        <v>0.076</v>
      </c>
      <c r="C101" s="340">
        <v>48</v>
      </c>
      <c r="F101" s="330">
        <v>0.0059</v>
      </c>
      <c r="G101" s="331">
        <v>97</v>
      </c>
      <c r="I101" s="330">
        <v>1.5</v>
      </c>
      <c r="J101" s="331" t="s">
        <v>949</v>
      </c>
      <c r="O101" s="330">
        <v>0.2047</v>
      </c>
      <c r="P101" s="332">
        <v>5.2</v>
      </c>
      <c r="Q101" s="330">
        <v>0.252</v>
      </c>
      <c r="R101" s="332">
        <v>6.4</v>
      </c>
      <c r="V101" t="str">
        <f t="shared" si="1"/>
        <v>Centimeters per Second &lt;&lt;&lt;&gt;&gt;&gt; Feet per Second</v>
      </c>
      <c r="W101" t="s">
        <v>266</v>
      </c>
      <c r="X101" t="s">
        <v>268</v>
      </c>
      <c r="Y101">
        <v>0.0328084</v>
      </c>
    </row>
    <row r="102" spans="2:25" ht="15">
      <c r="B102" s="339">
        <v>0.07680000000000001</v>
      </c>
      <c r="D102" s="1">
        <v>1.95</v>
      </c>
      <c r="F102" s="330">
        <v>0.0063</v>
      </c>
      <c r="G102" s="331">
        <v>96</v>
      </c>
      <c r="I102" s="330">
        <v>1.4844</v>
      </c>
      <c r="J102" s="331" t="s">
        <v>946</v>
      </c>
      <c r="O102" s="330">
        <v>0.2067</v>
      </c>
      <c r="P102" s="332">
        <v>5.25</v>
      </c>
      <c r="Q102" s="330">
        <v>0.248</v>
      </c>
      <c r="R102" s="332">
        <v>6.3</v>
      </c>
      <c r="V102" t="str">
        <f t="shared" si="1"/>
        <v>Centimeters/Seconds  &lt;&lt;&lt;&gt;&gt;&gt; Feet/Minutes </v>
      </c>
      <c r="W102" t="s">
        <v>270</v>
      </c>
      <c r="X102" t="s">
        <v>271</v>
      </c>
      <c r="Y102">
        <v>1.1969</v>
      </c>
    </row>
    <row r="103" spans="1:25" ht="15">
      <c r="A103" s="183" t="s">
        <v>201</v>
      </c>
      <c r="B103" s="339">
        <v>0.0781</v>
      </c>
      <c r="F103" s="330">
        <v>0.0067</v>
      </c>
      <c r="G103" s="331">
        <v>95</v>
      </c>
      <c r="I103" s="330">
        <v>1.4688</v>
      </c>
      <c r="J103" s="331" t="s">
        <v>944</v>
      </c>
      <c r="O103" s="330">
        <v>0.2087</v>
      </c>
      <c r="P103" s="332">
        <v>5.3</v>
      </c>
      <c r="Q103" s="330">
        <v>0.2461</v>
      </c>
      <c r="R103" s="332">
        <v>6.25</v>
      </c>
      <c r="V103" t="str">
        <f t="shared" si="1"/>
        <v>Centimeters/Seconds  &lt;&lt;&lt;&gt;&gt;&gt; Feet/Seconds </v>
      </c>
      <c r="W103" t="s">
        <v>270</v>
      </c>
      <c r="X103" t="s">
        <v>272</v>
      </c>
      <c r="Y103">
        <v>0.03281</v>
      </c>
    </row>
    <row r="104" spans="2:25" ht="15">
      <c r="B104" s="339">
        <v>0.0785</v>
      </c>
      <c r="C104" s="340">
        <v>47</v>
      </c>
      <c r="F104" s="330">
        <v>0.0071</v>
      </c>
      <c r="G104" s="331">
        <v>94</v>
      </c>
      <c r="I104" s="330">
        <v>1.4531</v>
      </c>
      <c r="J104" s="331" t="s">
        <v>941</v>
      </c>
      <c r="O104" s="330">
        <v>0.2126</v>
      </c>
      <c r="P104" s="332">
        <v>5.4</v>
      </c>
      <c r="Q104" s="330">
        <v>0.2441</v>
      </c>
      <c r="R104" s="332">
        <v>6.2</v>
      </c>
      <c r="V104" t="str">
        <f t="shared" si="1"/>
        <v>Centimeters/Seconds  &lt;&lt;&lt;&gt;&gt;&gt; Kilometers/Hour </v>
      </c>
      <c r="W104" t="s">
        <v>270</v>
      </c>
      <c r="X104" t="s">
        <v>273</v>
      </c>
      <c r="Y104">
        <v>0.036</v>
      </c>
    </row>
    <row r="105" spans="2:25" ht="15">
      <c r="B105" s="339">
        <v>0.0787</v>
      </c>
      <c r="D105" s="1">
        <v>2</v>
      </c>
      <c r="F105" s="330">
        <v>0.0075</v>
      </c>
      <c r="G105" s="331">
        <v>93</v>
      </c>
      <c r="I105" s="330">
        <v>1.4375</v>
      </c>
      <c r="J105" s="331" t="s">
        <v>936</v>
      </c>
      <c r="O105" s="330">
        <v>0.2165</v>
      </c>
      <c r="P105" s="332">
        <v>5.5</v>
      </c>
      <c r="Q105" s="330">
        <v>0.2402</v>
      </c>
      <c r="R105" s="332">
        <v>6.1</v>
      </c>
      <c r="V105" t="str">
        <f t="shared" si="1"/>
        <v>Centimeters/Seconds  &lt;&lt;&lt;&gt;&gt;&gt; Knots </v>
      </c>
      <c r="W105" t="s">
        <v>270</v>
      </c>
      <c r="X105" t="s">
        <v>274</v>
      </c>
      <c r="Y105">
        <v>0.1943</v>
      </c>
    </row>
    <row r="106" spans="2:25" ht="15">
      <c r="B106" s="339">
        <v>0.08070000000000001</v>
      </c>
      <c r="D106" s="1">
        <v>2.05</v>
      </c>
      <c r="F106" s="330">
        <v>0.0079</v>
      </c>
      <c r="G106" s="331">
        <v>92</v>
      </c>
      <c r="I106" s="330">
        <v>1.4219</v>
      </c>
      <c r="J106" s="331" t="s">
        <v>934</v>
      </c>
      <c r="O106" s="330">
        <v>0.2205</v>
      </c>
      <c r="P106" s="332">
        <v>5.6</v>
      </c>
      <c r="Q106" s="330">
        <v>0.2362</v>
      </c>
      <c r="R106" s="332">
        <v>6</v>
      </c>
      <c r="V106" t="str">
        <f t="shared" si="1"/>
        <v>Centimeters/Seconds  &lt;&lt;&lt;&gt;&gt;&gt; Meters/Minutes </v>
      </c>
      <c r="W106" t="s">
        <v>270</v>
      </c>
      <c r="X106" t="s">
        <v>275</v>
      </c>
      <c r="Y106">
        <v>0.6</v>
      </c>
    </row>
    <row r="107" spans="2:25" ht="15">
      <c r="B107" s="339">
        <v>0.081</v>
      </c>
      <c r="C107" s="340">
        <v>46</v>
      </c>
      <c r="F107" s="330">
        <v>0.0083</v>
      </c>
      <c r="G107" s="331">
        <v>91</v>
      </c>
      <c r="I107" s="330">
        <v>1.4062</v>
      </c>
      <c r="J107" s="331" t="s">
        <v>931</v>
      </c>
      <c r="O107" s="330">
        <v>0.2244</v>
      </c>
      <c r="P107" s="332">
        <v>5.7</v>
      </c>
      <c r="Q107" s="330">
        <v>0.2323</v>
      </c>
      <c r="R107" s="332">
        <v>5.9</v>
      </c>
      <c r="V107" t="str">
        <f t="shared" si="1"/>
        <v>Centimeters/Seconds  &lt;&lt;&lt;&gt;&gt;&gt; Miles/Hour </v>
      </c>
      <c r="W107" t="s">
        <v>270</v>
      </c>
      <c r="X107" t="s">
        <v>276</v>
      </c>
      <c r="Y107">
        <v>0.02237</v>
      </c>
    </row>
    <row r="108" spans="2:25" ht="15">
      <c r="B108" s="339">
        <v>0.082</v>
      </c>
      <c r="C108" s="340">
        <v>45</v>
      </c>
      <c r="F108" s="330">
        <v>0.0087</v>
      </c>
      <c r="G108" s="331">
        <v>90</v>
      </c>
      <c r="I108" s="330">
        <v>1.3906</v>
      </c>
      <c r="J108" s="331" t="s">
        <v>928</v>
      </c>
      <c r="O108" s="330">
        <v>0.2264</v>
      </c>
      <c r="P108" s="332">
        <v>5.75</v>
      </c>
      <c r="Q108" s="330">
        <v>0.2283</v>
      </c>
      <c r="R108" s="332">
        <v>5.8</v>
      </c>
      <c r="V108" t="str">
        <f t="shared" si="1"/>
        <v>Centimeters/Seconds  &lt;&lt;&lt;&gt;&gt;&gt; Miles/Minutes </v>
      </c>
      <c r="W108" t="s">
        <v>270</v>
      </c>
      <c r="X108" t="s">
        <v>277</v>
      </c>
      <c r="Y108">
        <v>0.0003728</v>
      </c>
    </row>
    <row r="109" spans="2:25" ht="15">
      <c r="B109" s="339">
        <v>0.08270000000000001</v>
      </c>
      <c r="D109" s="1">
        <v>2.1</v>
      </c>
      <c r="F109" s="330">
        <v>0.0091</v>
      </c>
      <c r="G109" s="331">
        <v>89</v>
      </c>
      <c r="I109" s="330">
        <v>1.375</v>
      </c>
      <c r="J109" s="331" t="s">
        <v>925</v>
      </c>
      <c r="O109" s="330">
        <v>0.2283</v>
      </c>
      <c r="P109" s="332">
        <v>5.8</v>
      </c>
      <c r="Q109" s="330">
        <v>0.2264</v>
      </c>
      <c r="R109" s="332">
        <v>5.75</v>
      </c>
      <c r="V109" t="str">
        <f t="shared" si="1"/>
        <v>Centimeters/Seconds/Seconds  &lt;&lt;&lt;&gt;&gt;&gt; Feet/Seconds/Seconds </v>
      </c>
      <c r="W109" t="s">
        <v>278</v>
      </c>
      <c r="X109" t="s">
        <v>279</v>
      </c>
      <c r="Y109">
        <v>0.03281</v>
      </c>
    </row>
    <row r="110" spans="2:25" ht="15">
      <c r="B110" s="339">
        <v>0.08460000000000001</v>
      </c>
      <c r="D110" s="1">
        <v>2.15</v>
      </c>
      <c r="F110" s="330">
        <v>0.0095</v>
      </c>
      <c r="G110" s="331">
        <v>88</v>
      </c>
      <c r="I110" s="330">
        <v>1.3594</v>
      </c>
      <c r="J110" s="331" t="s">
        <v>923</v>
      </c>
      <c r="O110" s="330">
        <v>0.2323</v>
      </c>
      <c r="P110" s="332">
        <v>5.9</v>
      </c>
      <c r="Q110" s="330">
        <v>0.2244</v>
      </c>
      <c r="R110" s="332">
        <v>5.7</v>
      </c>
      <c r="V110" t="str">
        <f t="shared" si="1"/>
        <v>Centimeters/Seconds/Seconds  &lt;&lt;&lt;&gt;&gt;&gt; Kilometers/Hour/Seconds </v>
      </c>
      <c r="W110" t="s">
        <v>278</v>
      </c>
      <c r="X110" t="s">
        <v>280</v>
      </c>
      <c r="Y110">
        <v>0.036</v>
      </c>
    </row>
    <row r="111" spans="2:25" ht="15">
      <c r="B111" s="339">
        <v>0.08600000000000001</v>
      </c>
      <c r="C111" s="340">
        <v>44</v>
      </c>
      <c r="F111" s="330">
        <v>0.01</v>
      </c>
      <c r="G111" s="331">
        <v>87</v>
      </c>
      <c r="I111" s="330">
        <v>1.3438</v>
      </c>
      <c r="J111" s="331" t="s">
        <v>919</v>
      </c>
      <c r="O111" s="330">
        <v>0.2362</v>
      </c>
      <c r="P111" s="332">
        <v>6</v>
      </c>
      <c r="Q111" s="330">
        <v>0.2205</v>
      </c>
      <c r="R111" s="332">
        <v>5.6</v>
      </c>
      <c r="V111" t="str">
        <f t="shared" si="1"/>
        <v>Centimeters/Seconds/Seconds  &lt;&lt;&lt;&gt;&gt;&gt; meters/Seconds/Seconds </v>
      </c>
      <c r="W111" t="s">
        <v>278</v>
      </c>
      <c r="X111" t="s">
        <v>281</v>
      </c>
      <c r="Y111">
        <v>0.01</v>
      </c>
    </row>
    <row r="112" spans="2:25" ht="15">
      <c r="B112" s="339">
        <v>0.08660000000000001</v>
      </c>
      <c r="D112" s="1">
        <v>2.2</v>
      </c>
      <c r="F112" s="330">
        <v>0.0105</v>
      </c>
      <c r="G112" s="331">
        <v>86</v>
      </c>
      <c r="I112" s="330">
        <v>1.3281</v>
      </c>
      <c r="J112" s="331" t="s">
        <v>224</v>
      </c>
      <c r="O112" s="330">
        <v>0.2402</v>
      </c>
      <c r="P112" s="332">
        <v>6.1</v>
      </c>
      <c r="Q112" s="330">
        <v>0.2165</v>
      </c>
      <c r="R112" s="332">
        <v>5.5</v>
      </c>
      <c r="V112" t="str">
        <f t="shared" si="1"/>
        <v>Centimeters/Seconds/Seconds  &lt;&lt;&lt;&gt;&gt;&gt; Miles/Hour/Seconds </v>
      </c>
      <c r="W112" t="s">
        <v>278</v>
      </c>
      <c r="X112" t="s">
        <v>282</v>
      </c>
      <c r="Y112">
        <v>0.02237</v>
      </c>
    </row>
    <row r="113" spans="2:25" ht="15">
      <c r="B113" s="339">
        <v>0.0886</v>
      </c>
      <c r="D113" s="1">
        <v>2.25</v>
      </c>
      <c r="F113" s="330">
        <v>0.011</v>
      </c>
      <c r="G113" s="331">
        <v>85</v>
      </c>
      <c r="I113" s="330">
        <v>1.3125</v>
      </c>
      <c r="J113" s="331" t="s">
        <v>222</v>
      </c>
      <c r="O113" s="330">
        <v>0.2441</v>
      </c>
      <c r="P113" s="332">
        <v>6.2</v>
      </c>
      <c r="Q113" s="330">
        <v>0.2126</v>
      </c>
      <c r="R113" s="332">
        <v>5.4</v>
      </c>
      <c r="V113" t="str">
        <f t="shared" si="1"/>
        <v>Centimeters-Dynes &lt;&lt;&lt;&gt;&gt;&gt; Centimeter-Grams</v>
      </c>
      <c r="W113" t="s">
        <v>283</v>
      </c>
      <c r="X113" t="s">
        <v>284</v>
      </c>
      <c r="Y113">
        <v>0.00102</v>
      </c>
    </row>
    <row r="114" spans="2:25" ht="15">
      <c r="B114" s="339">
        <v>0.089</v>
      </c>
      <c r="C114" s="340">
        <v>43</v>
      </c>
      <c r="F114" s="330">
        <v>0.0115</v>
      </c>
      <c r="G114" s="331">
        <v>84</v>
      </c>
      <c r="I114" s="330">
        <v>1.2969</v>
      </c>
      <c r="J114" s="331" t="s">
        <v>219</v>
      </c>
      <c r="O114" s="330">
        <v>0.2461</v>
      </c>
      <c r="P114" s="332">
        <v>6.25</v>
      </c>
      <c r="Q114" s="330">
        <v>0.2087</v>
      </c>
      <c r="R114" s="332">
        <v>5.3</v>
      </c>
      <c r="V114" t="str">
        <f t="shared" si="1"/>
        <v>Chain &lt;&lt;&lt;&gt;&gt;&gt; Inches</v>
      </c>
      <c r="W114" t="s">
        <v>285</v>
      </c>
      <c r="X114" t="s">
        <v>56</v>
      </c>
      <c r="Y114">
        <v>792</v>
      </c>
    </row>
    <row r="115" spans="2:25" ht="15">
      <c r="B115" s="339">
        <v>0.0906</v>
      </c>
      <c r="D115" s="1">
        <v>2.3</v>
      </c>
      <c r="F115" s="330">
        <v>0.012</v>
      </c>
      <c r="G115" s="331">
        <v>83</v>
      </c>
      <c r="I115" s="330">
        <v>1.2812</v>
      </c>
      <c r="J115" s="331" t="s">
        <v>217</v>
      </c>
      <c r="O115" s="330">
        <v>0.248</v>
      </c>
      <c r="P115" s="332">
        <v>6.3</v>
      </c>
      <c r="Q115" s="330">
        <v>0.2067</v>
      </c>
      <c r="R115" s="332">
        <v>5.25</v>
      </c>
      <c r="V115" t="str">
        <f t="shared" si="1"/>
        <v>Chain &lt;&lt;&lt;&gt;&gt;&gt; Meters</v>
      </c>
      <c r="W115" t="s">
        <v>285</v>
      </c>
      <c r="X115" t="s">
        <v>64</v>
      </c>
      <c r="Y115">
        <v>20.12</v>
      </c>
    </row>
    <row r="116" spans="2:25" ht="15">
      <c r="B116" s="339">
        <v>0.0925</v>
      </c>
      <c r="D116" s="1">
        <v>2.35</v>
      </c>
      <c r="F116" s="330">
        <v>0.0125</v>
      </c>
      <c r="G116" s="331">
        <v>82</v>
      </c>
      <c r="I116" s="330">
        <v>1.2656</v>
      </c>
      <c r="J116" s="331" t="s">
        <v>213</v>
      </c>
      <c r="O116" s="330">
        <v>0.252</v>
      </c>
      <c r="P116" s="332">
        <v>6.4</v>
      </c>
      <c r="Q116" s="330">
        <v>0.2047</v>
      </c>
      <c r="R116" s="332">
        <v>5.2</v>
      </c>
      <c r="V116" t="str">
        <f t="shared" si="1"/>
        <v>Circular Mils  &lt;&lt;&lt;&gt;&gt;&gt; Square Centimeters </v>
      </c>
      <c r="W116" t="s">
        <v>286</v>
      </c>
      <c r="X116" t="s">
        <v>287</v>
      </c>
      <c r="Y116">
        <v>5.07E-06</v>
      </c>
    </row>
    <row r="117" spans="2:25" ht="15">
      <c r="B117" s="339">
        <v>0.0935</v>
      </c>
      <c r="C117" s="340">
        <v>42</v>
      </c>
      <c r="F117" s="330">
        <v>0.013</v>
      </c>
      <c r="G117" s="331">
        <v>81</v>
      </c>
      <c r="I117" s="330">
        <v>1.25</v>
      </c>
      <c r="J117" s="331" t="s">
        <v>210</v>
      </c>
      <c r="O117" s="330">
        <v>0.2559</v>
      </c>
      <c r="P117" s="332">
        <v>6.5</v>
      </c>
      <c r="Q117" s="330">
        <v>0.2008</v>
      </c>
      <c r="R117" s="332">
        <v>5.1</v>
      </c>
      <c r="V117" t="str">
        <f t="shared" si="1"/>
        <v>Circular Mils  &lt;&lt;&lt;&gt;&gt;&gt; Square Inches </v>
      </c>
      <c r="W117" t="s">
        <v>286</v>
      </c>
      <c r="X117" t="s">
        <v>288</v>
      </c>
      <c r="Y117">
        <v>7.85E-07</v>
      </c>
    </row>
    <row r="118" spans="1:25" ht="15">
      <c r="A118" s="183" t="s">
        <v>225</v>
      </c>
      <c r="B118" s="339">
        <v>0.09380000000000001</v>
      </c>
      <c r="F118" s="330">
        <v>0.0135</v>
      </c>
      <c r="G118" s="331">
        <v>80</v>
      </c>
      <c r="I118" s="330">
        <v>1.2344</v>
      </c>
      <c r="J118" s="331" t="s">
        <v>208</v>
      </c>
      <c r="O118" s="330">
        <v>0.2598</v>
      </c>
      <c r="P118" s="332">
        <v>6.6</v>
      </c>
      <c r="Q118" s="330">
        <v>0.1969</v>
      </c>
      <c r="R118" s="332">
        <v>5</v>
      </c>
      <c r="V118" t="str">
        <f t="shared" si="1"/>
        <v>Circular Mils  &lt;&lt;&lt;&gt;&gt;&gt; Square Mils </v>
      </c>
      <c r="W118" t="s">
        <v>286</v>
      </c>
      <c r="X118" t="s">
        <v>289</v>
      </c>
      <c r="Y118">
        <v>0.7854</v>
      </c>
    </row>
    <row r="119" spans="2:25" ht="15">
      <c r="B119" s="339">
        <v>0.0945</v>
      </c>
      <c r="D119" s="1">
        <v>2.4</v>
      </c>
      <c r="F119" s="330">
        <v>0.0145</v>
      </c>
      <c r="G119" s="331">
        <v>79</v>
      </c>
      <c r="I119" s="330">
        <v>1.2188</v>
      </c>
      <c r="J119" s="331" t="s">
        <v>205</v>
      </c>
      <c r="O119" s="330">
        <v>0.2638</v>
      </c>
      <c r="P119" s="332">
        <v>6.7</v>
      </c>
      <c r="Q119" s="330">
        <v>0.1929</v>
      </c>
      <c r="R119" s="332">
        <v>4.9</v>
      </c>
      <c r="V119" t="str">
        <f t="shared" si="1"/>
        <v>Cord Feet  &lt;&lt;&lt;&gt;&gt;&gt; Cubic Feet </v>
      </c>
      <c r="W119" t="s">
        <v>290</v>
      </c>
      <c r="X119" t="s">
        <v>1093</v>
      </c>
      <c r="Y119">
        <v>16</v>
      </c>
    </row>
    <row r="120" spans="2:25" ht="15">
      <c r="B120" s="339">
        <v>0.096</v>
      </c>
      <c r="C120" s="340">
        <v>41</v>
      </c>
      <c r="F120" s="330">
        <v>0.0156</v>
      </c>
      <c r="G120" s="331" t="s">
        <v>953</v>
      </c>
      <c r="I120" s="330">
        <v>1.2031</v>
      </c>
      <c r="J120" s="331" t="s">
        <v>203</v>
      </c>
      <c r="O120" s="330">
        <v>0.2657</v>
      </c>
      <c r="P120" s="332">
        <v>6.75</v>
      </c>
      <c r="Q120" s="330">
        <v>0.189</v>
      </c>
      <c r="R120" s="332">
        <v>4.8</v>
      </c>
      <c r="V120" t="str">
        <f t="shared" si="1"/>
        <v>Cubic Centimeter  &lt;&lt;&lt;&gt;&gt;&gt; Cubic foot </v>
      </c>
      <c r="W120" t="s">
        <v>291</v>
      </c>
      <c r="X120" t="s">
        <v>292</v>
      </c>
      <c r="Y120">
        <v>3.53E-05</v>
      </c>
    </row>
    <row r="121" spans="2:25" ht="15">
      <c r="B121" s="339">
        <v>0.0965</v>
      </c>
      <c r="D121" s="1">
        <v>2.45</v>
      </c>
      <c r="F121" s="330">
        <v>0.016</v>
      </c>
      <c r="G121" s="331">
        <v>78</v>
      </c>
      <c r="I121" s="330">
        <v>1.1875</v>
      </c>
      <c r="J121" s="331" t="s">
        <v>199</v>
      </c>
      <c r="O121" s="330">
        <v>0.2677</v>
      </c>
      <c r="P121" s="332">
        <v>6.8</v>
      </c>
      <c r="Q121" s="330">
        <v>0.187</v>
      </c>
      <c r="R121" s="332">
        <v>4.75</v>
      </c>
      <c r="V121" t="str">
        <f t="shared" si="1"/>
        <v>Cubic Centimeter  &lt;&lt;&lt;&gt;&gt;&gt; Cubic Inch </v>
      </c>
      <c r="W121" t="s">
        <v>291</v>
      </c>
      <c r="X121" t="s">
        <v>293</v>
      </c>
      <c r="Y121">
        <v>0.06102374</v>
      </c>
    </row>
    <row r="122" spans="2:25" ht="15">
      <c r="B122" s="339">
        <v>0.098</v>
      </c>
      <c r="C122" s="340">
        <v>40</v>
      </c>
      <c r="F122" s="330">
        <v>0.018</v>
      </c>
      <c r="G122" s="331">
        <v>77</v>
      </c>
      <c r="I122" s="330">
        <v>1.1719</v>
      </c>
      <c r="J122" s="331" t="s">
        <v>195</v>
      </c>
      <c r="O122" s="330">
        <v>0.2717</v>
      </c>
      <c r="P122" s="332">
        <v>6.9</v>
      </c>
      <c r="Q122" s="330">
        <v>0.185</v>
      </c>
      <c r="R122" s="332">
        <v>4.7</v>
      </c>
      <c r="V122" t="str">
        <f t="shared" si="1"/>
        <v>Cubic Centimeter  &lt;&lt;&lt;&gt;&gt;&gt; Cubic Inches </v>
      </c>
      <c r="W122" t="s">
        <v>291</v>
      </c>
      <c r="X122" t="s">
        <v>237</v>
      </c>
      <c r="Y122">
        <v>0.06102376</v>
      </c>
    </row>
    <row r="123" spans="2:25" ht="15">
      <c r="B123" s="339">
        <v>0.0984</v>
      </c>
      <c r="D123" s="1">
        <v>2.5</v>
      </c>
      <c r="F123" s="330">
        <v>0.02</v>
      </c>
      <c r="G123" s="331">
        <v>76</v>
      </c>
      <c r="I123" s="330">
        <v>1.1562</v>
      </c>
      <c r="J123" s="331" t="s">
        <v>192</v>
      </c>
      <c r="O123" s="330">
        <v>0.2756</v>
      </c>
      <c r="P123" s="332">
        <v>7</v>
      </c>
      <c r="Q123" s="330">
        <v>0.1811</v>
      </c>
      <c r="R123" s="332">
        <v>4.6</v>
      </c>
      <c r="V123" t="str">
        <f t="shared" si="1"/>
        <v>Cubic Centimeter  &lt;&lt;&lt;&gt;&gt;&gt; Cubic meter </v>
      </c>
      <c r="W123" t="s">
        <v>291</v>
      </c>
      <c r="X123" t="s">
        <v>294</v>
      </c>
      <c r="Y123">
        <v>1E-06</v>
      </c>
    </row>
    <row r="124" spans="2:25" ht="15">
      <c r="B124" s="339">
        <v>0.0995</v>
      </c>
      <c r="C124" s="340">
        <v>39</v>
      </c>
      <c r="F124" s="330">
        <v>0.021</v>
      </c>
      <c r="G124" s="331">
        <v>75</v>
      </c>
      <c r="I124" s="330">
        <v>1.1406</v>
      </c>
      <c r="J124" s="331" t="s">
        <v>190</v>
      </c>
      <c r="O124" s="330">
        <v>0.2795</v>
      </c>
      <c r="P124" s="332">
        <v>7.1</v>
      </c>
      <c r="Q124" s="330">
        <v>0.1772</v>
      </c>
      <c r="R124" s="332">
        <v>4.5</v>
      </c>
      <c r="V124" t="str">
        <f t="shared" si="1"/>
        <v>Cubic Centimeter  &lt;&lt;&lt;&gt;&gt;&gt; Cubic millimeter </v>
      </c>
      <c r="W124" t="s">
        <v>291</v>
      </c>
      <c r="X124" t="s">
        <v>295</v>
      </c>
      <c r="Y124">
        <v>1000</v>
      </c>
    </row>
    <row r="125" spans="2:25" ht="15">
      <c r="B125" s="339">
        <v>0.1015</v>
      </c>
      <c r="C125" s="340">
        <v>38</v>
      </c>
      <c r="F125" s="330">
        <v>0.0225</v>
      </c>
      <c r="G125" s="331">
        <v>74</v>
      </c>
      <c r="I125" s="330">
        <v>1.125</v>
      </c>
      <c r="J125" s="331" t="s">
        <v>187</v>
      </c>
      <c r="O125" s="330">
        <v>0.28350000000000003</v>
      </c>
      <c r="P125" s="332">
        <v>7.2</v>
      </c>
      <c r="Q125" s="330">
        <v>0.1732</v>
      </c>
      <c r="R125" s="332">
        <v>4.4</v>
      </c>
      <c r="V125" t="str">
        <f t="shared" si="1"/>
        <v>Cubic Centimeter  &lt;&lt;&lt;&gt;&gt;&gt; Cubic yard </v>
      </c>
      <c r="W125" t="s">
        <v>291</v>
      </c>
      <c r="X125" t="s">
        <v>296</v>
      </c>
      <c r="Y125">
        <v>1.31E-06</v>
      </c>
    </row>
    <row r="126" spans="2:25" ht="15">
      <c r="B126" s="339">
        <v>0.1024</v>
      </c>
      <c r="D126" s="1">
        <v>2.6</v>
      </c>
      <c r="F126" s="330">
        <v>0.024</v>
      </c>
      <c r="G126" s="331">
        <v>73</v>
      </c>
      <c r="I126" s="330">
        <v>1.1094</v>
      </c>
      <c r="J126" s="331" t="s">
        <v>184</v>
      </c>
      <c r="O126" s="330">
        <v>0.2854</v>
      </c>
      <c r="P126" s="332">
        <v>7.25</v>
      </c>
      <c r="Q126" s="330">
        <v>0.1693</v>
      </c>
      <c r="R126" s="332">
        <v>4.3</v>
      </c>
      <c r="V126" t="str">
        <f t="shared" si="1"/>
        <v>Cubic Centimeter  &lt;&lt;&lt;&gt;&gt;&gt; Drachm (Brit. fluid) </v>
      </c>
      <c r="W126" t="s">
        <v>291</v>
      </c>
      <c r="X126" t="s">
        <v>297</v>
      </c>
      <c r="Y126">
        <v>0.2815606</v>
      </c>
    </row>
    <row r="127" spans="2:25" ht="15">
      <c r="B127" s="339">
        <v>0.10400000000000001</v>
      </c>
      <c r="C127" s="340">
        <v>37</v>
      </c>
      <c r="F127" s="330">
        <v>0.025</v>
      </c>
      <c r="G127" s="331">
        <v>72</v>
      </c>
      <c r="I127" s="330">
        <v>1.0938</v>
      </c>
      <c r="J127" s="331" t="s">
        <v>181</v>
      </c>
      <c r="O127" s="330">
        <v>0.2874</v>
      </c>
      <c r="P127" s="332">
        <v>7.3</v>
      </c>
      <c r="Q127" s="330">
        <v>0.1673</v>
      </c>
      <c r="R127" s="332">
        <v>4.25</v>
      </c>
      <c r="V127" t="str">
        <f t="shared" si="1"/>
        <v>Cubic Centimeter  &lt;&lt;&lt;&gt;&gt;&gt; Dram (U.S. fluid) </v>
      </c>
      <c r="W127" t="s">
        <v>291</v>
      </c>
      <c r="X127" t="s">
        <v>298</v>
      </c>
      <c r="Y127">
        <v>0.2705122</v>
      </c>
    </row>
    <row r="128" spans="2:25" ht="15">
      <c r="B128" s="339">
        <v>0.1063</v>
      </c>
      <c r="D128" s="1">
        <v>2.7</v>
      </c>
      <c r="F128" s="330">
        <v>0.026</v>
      </c>
      <c r="G128" s="331">
        <v>71</v>
      </c>
      <c r="I128" s="330">
        <v>1.0781</v>
      </c>
      <c r="J128" s="331" t="s">
        <v>176</v>
      </c>
      <c r="O128" s="330">
        <v>0.2913</v>
      </c>
      <c r="P128" s="332">
        <v>7.4</v>
      </c>
      <c r="Q128" s="330">
        <v>0.1654</v>
      </c>
      <c r="R128" s="332">
        <v>4.2</v>
      </c>
      <c r="V128" t="str">
        <f t="shared" si="1"/>
        <v>Cubic Centimeter  &lt;&lt;&lt;&gt;&gt;&gt; Gallon (Brit liq.) </v>
      </c>
      <c r="W128" t="s">
        <v>291</v>
      </c>
      <c r="X128" t="s">
        <v>299</v>
      </c>
      <c r="Y128">
        <v>0.00022</v>
      </c>
    </row>
    <row r="129" spans="2:25" ht="15">
      <c r="B129" s="339">
        <v>0.1065</v>
      </c>
      <c r="C129" s="340">
        <v>36</v>
      </c>
      <c r="F129" s="330">
        <v>0.028</v>
      </c>
      <c r="G129" s="331">
        <v>70</v>
      </c>
      <c r="I129" s="330">
        <v>1.0625</v>
      </c>
      <c r="J129" s="331" t="s">
        <v>173</v>
      </c>
      <c r="O129" s="330">
        <v>0.2953</v>
      </c>
      <c r="P129" s="332">
        <v>7.5</v>
      </c>
      <c r="Q129" s="330">
        <v>0.1614</v>
      </c>
      <c r="R129" s="332">
        <v>4.1</v>
      </c>
      <c r="V129" t="str">
        <f t="shared" si="1"/>
        <v>Cubic Centimeter  &lt;&lt;&lt;&gt;&gt;&gt; Gallon (US liq.) </v>
      </c>
      <c r="W129" t="s">
        <v>291</v>
      </c>
      <c r="X129" t="s">
        <v>300</v>
      </c>
      <c r="Y129">
        <v>0.000264</v>
      </c>
    </row>
    <row r="130" spans="2:25" ht="15">
      <c r="B130" s="339">
        <v>0.1083</v>
      </c>
      <c r="D130" s="1">
        <v>2.75</v>
      </c>
      <c r="F130" s="330">
        <v>0.0292</v>
      </c>
      <c r="G130" s="331">
        <v>69</v>
      </c>
      <c r="I130" s="330">
        <v>1.0469</v>
      </c>
      <c r="J130" s="331" t="s">
        <v>171</v>
      </c>
      <c r="O130" s="330">
        <v>0.2992</v>
      </c>
      <c r="P130" s="332">
        <v>7.6</v>
      </c>
      <c r="Q130" s="330">
        <v>0.1575</v>
      </c>
      <c r="R130" s="332">
        <v>4</v>
      </c>
      <c r="V130" t="str">
        <f t="shared" si="1"/>
        <v>Cubic Centimeter  &lt;&lt;&lt;&gt;&gt;&gt; Liter </v>
      </c>
      <c r="W130" t="s">
        <v>291</v>
      </c>
      <c r="X130" t="s">
        <v>301</v>
      </c>
      <c r="Y130">
        <v>0.001</v>
      </c>
    </row>
    <row r="131" spans="1:25" ht="15">
      <c r="A131" s="183" t="s">
        <v>937</v>
      </c>
      <c r="B131" s="339">
        <v>0.1094</v>
      </c>
      <c r="F131" s="330">
        <v>0.031</v>
      </c>
      <c r="G131" s="331">
        <v>68</v>
      </c>
      <c r="I131" s="330">
        <v>1.0312</v>
      </c>
      <c r="J131" s="331" t="s">
        <v>168</v>
      </c>
      <c r="O131" s="330">
        <v>0.3031</v>
      </c>
      <c r="P131" s="332">
        <v>7.7</v>
      </c>
      <c r="Q131" s="330">
        <v>0.1535</v>
      </c>
      <c r="R131" s="332">
        <v>3.9</v>
      </c>
      <c r="V131" t="str">
        <f aca="true" t="shared" si="2" ref="V131:V194">IF(W131="","",W131&amp;" &lt;&lt;&lt;&gt;&gt;&gt; "&amp;X131)</f>
        <v>Cubic Centimeter  &lt;&lt;&lt;&gt;&gt;&gt; Pint (US liq.) </v>
      </c>
      <c r="W131" t="s">
        <v>291</v>
      </c>
      <c r="X131" t="s">
        <v>302</v>
      </c>
      <c r="Y131">
        <v>0.002113</v>
      </c>
    </row>
    <row r="132" spans="2:25" ht="15">
      <c r="B132" s="339">
        <v>0.11</v>
      </c>
      <c r="C132" s="340">
        <v>35</v>
      </c>
      <c r="F132" s="330">
        <v>0.0312</v>
      </c>
      <c r="G132" s="331" t="s">
        <v>954</v>
      </c>
      <c r="I132" s="330">
        <v>1.0156</v>
      </c>
      <c r="J132" s="331" t="s">
        <v>166</v>
      </c>
      <c r="O132" s="330">
        <v>0.3051</v>
      </c>
      <c r="P132" s="332">
        <v>7.75</v>
      </c>
      <c r="Q132" s="330">
        <v>0.1496</v>
      </c>
      <c r="R132" s="332">
        <v>3.8</v>
      </c>
      <c r="V132" t="str">
        <f t="shared" si="2"/>
        <v>Cubic Centimeter  &lt;&lt;&lt;&gt;&gt;&gt; Quart (US liq.) </v>
      </c>
      <c r="W132" t="s">
        <v>291</v>
      </c>
      <c r="X132" t="s">
        <v>303</v>
      </c>
      <c r="Y132">
        <v>0.001057</v>
      </c>
    </row>
    <row r="133" spans="2:25" ht="15">
      <c r="B133" s="339">
        <v>0.1102</v>
      </c>
      <c r="D133" s="1">
        <v>2.8</v>
      </c>
      <c r="F133" s="330">
        <v>0.032</v>
      </c>
      <c r="G133" s="331">
        <v>67</v>
      </c>
      <c r="I133" s="330">
        <v>1</v>
      </c>
      <c r="J133" s="331" t="s">
        <v>163</v>
      </c>
      <c r="O133" s="330">
        <v>0.3071</v>
      </c>
      <c r="P133" s="332">
        <v>7.8</v>
      </c>
      <c r="Q133" s="330">
        <v>0.1476</v>
      </c>
      <c r="R133" s="332">
        <v>3.75</v>
      </c>
      <c r="V133" t="str">
        <f t="shared" si="2"/>
        <v>Cubic Feet  &lt;&lt;&lt;&gt;&gt;&gt; Bushels (dry) </v>
      </c>
      <c r="W133" t="s">
        <v>1093</v>
      </c>
      <c r="X133" t="s">
        <v>304</v>
      </c>
      <c r="Y133">
        <v>0.8036</v>
      </c>
    </row>
    <row r="134" spans="2:25" ht="15">
      <c r="B134" s="339">
        <v>0.111</v>
      </c>
      <c r="C134" s="340">
        <v>34</v>
      </c>
      <c r="F134" s="330">
        <v>0.033</v>
      </c>
      <c r="G134" s="331">
        <v>66</v>
      </c>
      <c r="I134" s="330">
        <v>0.9844</v>
      </c>
      <c r="J134" s="331" t="s">
        <v>161</v>
      </c>
      <c r="O134" s="330">
        <v>0.311</v>
      </c>
      <c r="P134" s="332">
        <v>7.9</v>
      </c>
      <c r="Q134" s="330">
        <v>0.1457</v>
      </c>
      <c r="R134" s="332">
        <v>3.7</v>
      </c>
      <c r="V134" t="str">
        <f t="shared" si="2"/>
        <v>Cubic Feet  &lt;&lt;&lt;&gt;&gt;&gt; Cubic Centimeters </v>
      </c>
      <c r="W134" t="s">
        <v>1093</v>
      </c>
      <c r="X134" t="s">
        <v>305</v>
      </c>
      <c r="Y134">
        <v>28320</v>
      </c>
    </row>
    <row r="135" spans="2:25" ht="15">
      <c r="B135" s="339">
        <v>0.113</v>
      </c>
      <c r="C135" s="340">
        <v>33</v>
      </c>
      <c r="F135" s="330">
        <v>0.035</v>
      </c>
      <c r="G135" s="331">
        <v>65</v>
      </c>
      <c r="I135" s="330">
        <v>0.9688</v>
      </c>
      <c r="J135" s="331" t="s">
        <v>156</v>
      </c>
      <c r="O135" s="330">
        <v>0.315</v>
      </c>
      <c r="P135" s="332">
        <v>8</v>
      </c>
      <c r="Q135" s="330">
        <v>0.1417</v>
      </c>
      <c r="R135" s="332">
        <v>3.6</v>
      </c>
      <c r="V135" t="str">
        <f t="shared" si="2"/>
        <v>Cubic Feet  &lt;&lt;&lt;&gt;&gt;&gt; Cubic Inches </v>
      </c>
      <c r="W135" t="s">
        <v>1093</v>
      </c>
      <c r="X135" t="s">
        <v>237</v>
      </c>
      <c r="Y135">
        <v>1728</v>
      </c>
    </row>
    <row r="136" spans="2:25" ht="15">
      <c r="B136" s="339">
        <v>0.1142</v>
      </c>
      <c r="D136" s="1">
        <v>2.9</v>
      </c>
      <c r="F136" s="330">
        <v>0.036</v>
      </c>
      <c r="G136" s="331">
        <v>64</v>
      </c>
      <c r="I136" s="330">
        <v>0.9531</v>
      </c>
      <c r="J136" s="331" t="s">
        <v>153</v>
      </c>
      <c r="O136" s="330">
        <v>0.3189</v>
      </c>
      <c r="P136" s="332">
        <v>8.1</v>
      </c>
      <c r="Q136" s="330">
        <v>0.1378</v>
      </c>
      <c r="R136" s="332">
        <v>3.5</v>
      </c>
      <c r="V136" t="str">
        <f t="shared" si="2"/>
        <v>Cubic Feet  &lt;&lt;&lt;&gt;&gt;&gt; Cubic Meters </v>
      </c>
      <c r="W136" t="s">
        <v>1093</v>
      </c>
      <c r="X136" t="s">
        <v>238</v>
      </c>
      <c r="Y136">
        <v>0.02831685</v>
      </c>
    </row>
    <row r="137" spans="2:25" ht="15">
      <c r="B137" s="339">
        <v>0.116</v>
      </c>
      <c r="C137" s="340">
        <v>32</v>
      </c>
      <c r="F137" s="330">
        <v>0.037</v>
      </c>
      <c r="G137" s="331">
        <v>63</v>
      </c>
      <c r="I137" s="330">
        <v>0.9375</v>
      </c>
      <c r="J137" s="331" t="s">
        <v>151</v>
      </c>
      <c r="O137" s="330">
        <v>0.3228</v>
      </c>
      <c r="P137" s="332">
        <v>8.2</v>
      </c>
      <c r="Q137" s="330">
        <v>0.1339</v>
      </c>
      <c r="R137" s="332">
        <v>3.4</v>
      </c>
      <c r="V137" t="str">
        <f t="shared" si="2"/>
        <v>Cubic Feet  &lt;&lt;&lt;&gt;&gt;&gt; Cubic Yards </v>
      </c>
      <c r="W137" t="s">
        <v>1093</v>
      </c>
      <c r="X137" t="s">
        <v>306</v>
      </c>
      <c r="Y137">
        <v>0.037037037</v>
      </c>
    </row>
    <row r="138" spans="2:25" ht="15">
      <c r="B138" s="339">
        <v>0.1181</v>
      </c>
      <c r="D138" s="1">
        <v>3</v>
      </c>
      <c r="F138" s="330">
        <v>0.038</v>
      </c>
      <c r="G138" s="331">
        <v>62</v>
      </c>
      <c r="I138" s="330">
        <v>0.9219</v>
      </c>
      <c r="J138" s="331" t="s">
        <v>149</v>
      </c>
      <c r="O138" s="330">
        <v>0.3248</v>
      </c>
      <c r="P138" s="332">
        <v>8.25</v>
      </c>
      <c r="Q138" s="330">
        <v>0.1299</v>
      </c>
      <c r="R138" s="332">
        <v>3.3</v>
      </c>
      <c r="V138" t="str">
        <f t="shared" si="2"/>
        <v>Cubic Feet  &lt;&lt;&lt;&gt;&gt;&gt; Gallons (US liq.) </v>
      </c>
      <c r="W138" t="s">
        <v>1093</v>
      </c>
      <c r="X138" t="s">
        <v>307</v>
      </c>
      <c r="Y138">
        <v>7.48052</v>
      </c>
    </row>
    <row r="139" spans="2:25" ht="15">
      <c r="B139" s="339">
        <v>0.12</v>
      </c>
      <c r="C139" s="340">
        <v>31</v>
      </c>
      <c r="F139" s="330">
        <v>0.039</v>
      </c>
      <c r="G139" s="331">
        <v>61</v>
      </c>
      <c r="I139" s="330">
        <v>0.9062</v>
      </c>
      <c r="J139" s="331" t="s">
        <v>146</v>
      </c>
      <c r="O139" s="330">
        <v>0.3268</v>
      </c>
      <c r="P139" s="332">
        <v>8.3</v>
      </c>
      <c r="Q139" s="330">
        <v>0.128</v>
      </c>
      <c r="R139" s="332">
        <v>3.25</v>
      </c>
      <c r="V139" t="str">
        <f t="shared" si="2"/>
        <v>Cubic Feet  &lt;&lt;&lt;&gt;&gt;&gt; Liters </v>
      </c>
      <c r="W139" t="s">
        <v>1093</v>
      </c>
      <c r="X139" t="s">
        <v>239</v>
      </c>
      <c r="Y139">
        <v>28.31685</v>
      </c>
    </row>
    <row r="140" spans="2:25" ht="15">
      <c r="B140" s="339">
        <v>0.122</v>
      </c>
      <c r="D140" s="1">
        <v>3.1</v>
      </c>
      <c r="F140" s="330">
        <v>0.04</v>
      </c>
      <c r="G140" s="331">
        <v>60</v>
      </c>
      <c r="I140" s="330">
        <v>0.8906</v>
      </c>
      <c r="J140" s="331" t="s">
        <v>950</v>
      </c>
      <c r="O140" s="330">
        <v>0.3307</v>
      </c>
      <c r="P140" s="332">
        <v>8.4</v>
      </c>
      <c r="Q140" s="330">
        <v>0.126</v>
      </c>
      <c r="R140" s="332">
        <v>3.2</v>
      </c>
      <c r="V140" t="str">
        <f t="shared" si="2"/>
        <v>Cubic Feet  &lt;&lt;&lt;&gt;&gt;&gt; Pints (US liq.) </v>
      </c>
      <c r="W140" t="s">
        <v>1093</v>
      </c>
      <c r="X140" t="s">
        <v>308</v>
      </c>
      <c r="Y140">
        <v>59.84</v>
      </c>
    </row>
    <row r="141" spans="1:25" ht="15">
      <c r="A141" s="183" t="s">
        <v>147</v>
      </c>
      <c r="B141" s="339">
        <v>0.125</v>
      </c>
      <c r="F141" s="330">
        <v>0.041</v>
      </c>
      <c r="G141" s="331">
        <v>59</v>
      </c>
      <c r="I141" s="330">
        <v>0.875</v>
      </c>
      <c r="J141" s="331" t="s">
        <v>947</v>
      </c>
      <c r="O141" s="330">
        <v>0.3346</v>
      </c>
      <c r="P141" s="332">
        <v>8.5</v>
      </c>
      <c r="Q141" s="330">
        <v>0.122</v>
      </c>
      <c r="R141" s="332">
        <v>3.1</v>
      </c>
      <c r="V141" t="str">
        <f t="shared" si="2"/>
        <v>Cubic Feet  &lt;&lt;&lt;&gt;&gt;&gt; Quarts (US liq) </v>
      </c>
      <c r="W141" t="s">
        <v>1093</v>
      </c>
      <c r="X141" t="s">
        <v>309</v>
      </c>
      <c r="Y141">
        <v>29.92</v>
      </c>
    </row>
    <row r="142" spans="2:25" ht="15">
      <c r="B142" s="339">
        <v>0.126</v>
      </c>
      <c r="D142" s="1">
        <v>3.2</v>
      </c>
      <c r="F142" s="330">
        <v>0.042</v>
      </c>
      <c r="G142" s="331">
        <v>58</v>
      </c>
      <c r="I142" s="330">
        <v>0.8594</v>
      </c>
      <c r="J142" s="331" t="s">
        <v>945</v>
      </c>
      <c r="O142" s="330">
        <v>0.3386</v>
      </c>
      <c r="P142" s="332">
        <v>8.6</v>
      </c>
      <c r="Q142" s="330">
        <v>0.1181</v>
      </c>
      <c r="R142" s="332">
        <v>3</v>
      </c>
      <c r="V142" t="str">
        <f t="shared" si="2"/>
        <v>Cubic Feet per Minute &lt;&lt;&lt;&gt;&gt;&gt; Cubic Meters per Second</v>
      </c>
      <c r="W142" t="s">
        <v>310</v>
      </c>
      <c r="X142" t="s">
        <v>311</v>
      </c>
      <c r="Y142">
        <v>0.0004719474</v>
      </c>
    </row>
    <row r="143" spans="2:25" ht="15">
      <c r="B143" s="339">
        <v>0.128</v>
      </c>
      <c r="D143" s="1">
        <v>3.25</v>
      </c>
      <c r="F143" s="330">
        <v>0.043000000000000003</v>
      </c>
      <c r="G143" s="331">
        <v>57</v>
      </c>
      <c r="I143" s="330">
        <v>0.8438</v>
      </c>
      <c r="J143" s="331" t="s">
        <v>942</v>
      </c>
      <c r="O143" s="330">
        <v>0.3425</v>
      </c>
      <c r="P143" s="332">
        <v>8.7</v>
      </c>
      <c r="Q143" s="330">
        <v>0.1142</v>
      </c>
      <c r="R143" s="332">
        <v>2.9</v>
      </c>
      <c r="V143" t="str">
        <f t="shared" si="2"/>
        <v>Cubic Feet per Minute &lt;&lt;&lt;&gt;&gt;&gt; Liters per Minute</v>
      </c>
      <c r="W143" t="s">
        <v>310</v>
      </c>
      <c r="X143" t="s">
        <v>312</v>
      </c>
      <c r="Y143">
        <v>28.31685</v>
      </c>
    </row>
    <row r="144" spans="2:25" ht="15">
      <c r="B144" s="339">
        <v>0.1285</v>
      </c>
      <c r="C144" s="340">
        <v>30</v>
      </c>
      <c r="F144" s="330">
        <v>0.0465</v>
      </c>
      <c r="G144" s="331">
        <v>56</v>
      </c>
      <c r="I144" s="330">
        <v>0.8281</v>
      </c>
      <c r="J144" s="331" t="s">
        <v>940</v>
      </c>
      <c r="O144" s="330">
        <v>0.34450000000000003</v>
      </c>
      <c r="P144" s="332">
        <v>8.75</v>
      </c>
      <c r="Q144" s="330">
        <v>0.1102</v>
      </c>
      <c r="R144" s="332">
        <v>2.8</v>
      </c>
      <c r="V144" t="str">
        <f t="shared" si="2"/>
        <v>Cubic Feet/Minute  &lt;&lt;&lt;&gt;&gt;&gt; Cubic cms/Second </v>
      </c>
      <c r="W144" t="s">
        <v>313</v>
      </c>
      <c r="X144" t="s">
        <v>314</v>
      </c>
      <c r="Y144">
        <v>472</v>
      </c>
    </row>
    <row r="145" spans="2:25" ht="15">
      <c r="B145" s="339">
        <v>0.1299</v>
      </c>
      <c r="D145" s="1">
        <v>3.3</v>
      </c>
      <c r="F145" s="330">
        <v>0.046900000000000004</v>
      </c>
      <c r="G145" s="331" t="s">
        <v>157</v>
      </c>
      <c r="I145" s="330">
        <v>0.8125</v>
      </c>
      <c r="J145" s="331" t="s">
        <v>935</v>
      </c>
      <c r="O145" s="330">
        <v>0.34650000000000003</v>
      </c>
      <c r="P145" s="332">
        <v>8.8</v>
      </c>
      <c r="Q145" s="330">
        <v>0.1083</v>
      </c>
      <c r="R145" s="332">
        <v>2.75</v>
      </c>
      <c r="V145" t="str">
        <f t="shared" si="2"/>
        <v>Cubic Feet/Minute  &lt;&lt;&lt;&gt;&gt;&gt; Gallons/Second </v>
      </c>
      <c r="W145" t="s">
        <v>313</v>
      </c>
      <c r="X145" t="s">
        <v>315</v>
      </c>
      <c r="Y145">
        <v>0.1247</v>
      </c>
    </row>
    <row r="146" spans="2:25" ht="15">
      <c r="B146" s="339">
        <v>0.1339</v>
      </c>
      <c r="D146" s="1">
        <v>3.4</v>
      </c>
      <c r="F146" s="330">
        <v>0.052000000000000005</v>
      </c>
      <c r="G146" s="331">
        <v>55</v>
      </c>
      <c r="I146" s="330">
        <v>0.7969</v>
      </c>
      <c r="J146" s="331" t="s">
        <v>932</v>
      </c>
      <c r="O146" s="330">
        <v>0.3504</v>
      </c>
      <c r="P146" s="332">
        <v>8.9</v>
      </c>
      <c r="Q146" s="330">
        <v>0.1063</v>
      </c>
      <c r="R146" s="332">
        <v>2.7</v>
      </c>
      <c r="V146" t="str">
        <f t="shared" si="2"/>
        <v>Cubic Feet/Minute  &lt;&lt;&lt;&gt;&gt;&gt; Liters/Second </v>
      </c>
      <c r="W146" t="s">
        <v>313</v>
      </c>
      <c r="X146" t="s">
        <v>316</v>
      </c>
      <c r="Y146">
        <v>0.472</v>
      </c>
    </row>
    <row r="147" spans="2:25" ht="15">
      <c r="B147" s="339">
        <v>0.136</v>
      </c>
      <c r="C147" s="340">
        <v>29</v>
      </c>
      <c r="F147" s="330">
        <v>0.055</v>
      </c>
      <c r="G147" s="331">
        <v>54</v>
      </c>
      <c r="I147" s="330">
        <v>0.7812</v>
      </c>
      <c r="J147" s="331" t="s">
        <v>930</v>
      </c>
      <c r="O147" s="330">
        <v>0.3543</v>
      </c>
      <c r="P147" s="332">
        <v>9</v>
      </c>
      <c r="Q147" s="330">
        <v>0.1024</v>
      </c>
      <c r="R147" s="332">
        <v>2.6</v>
      </c>
      <c r="V147" t="str">
        <f t="shared" si="2"/>
        <v>Cubic Feet/Minute  &lt;&lt;&lt;&gt;&gt;&gt; Pounds of water/Minute </v>
      </c>
      <c r="W147" t="s">
        <v>313</v>
      </c>
      <c r="X147" t="s">
        <v>317</v>
      </c>
      <c r="Y147">
        <v>62.43</v>
      </c>
    </row>
    <row r="148" spans="2:25" ht="15">
      <c r="B148" s="339">
        <v>0.1378</v>
      </c>
      <c r="D148" s="1">
        <v>3.5</v>
      </c>
      <c r="F148" s="330">
        <v>0.059500000000000004</v>
      </c>
      <c r="G148" s="331">
        <v>53</v>
      </c>
      <c r="I148" s="330">
        <v>0.7656</v>
      </c>
      <c r="J148" s="331" t="s">
        <v>927</v>
      </c>
      <c r="O148" s="330">
        <v>0.3583</v>
      </c>
      <c r="P148" s="332">
        <v>9.1</v>
      </c>
      <c r="Q148" s="330">
        <v>0.0984</v>
      </c>
      <c r="R148" s="332">
        <v>2.5</v>
      </c>
      <c r="V148" t="str">
        <f t="shared" si="2"/>
        <v>Cubic Feet/Second  &lt;&lt;&lt;&gt;&gt;&gt; Gallons/Minute </v>
      </c>
      <c r="W148" t="s">
        <v>318</v>
      </c>
      <c r="X148" t="s">
        <v>319</v>
      </c>
      <c r="Y148">
        <v>448.831</v>
      </c>
    </row>
    <row r="149" spans="2:25" ht="15">
      <c r="B149" s="339">
        <v>0.1405</v>
      </c>
      <c r="C149" s="340">
        <v>28</v>
      </c>
      <c r="F149" s="330">
        <v>0.0625</v>
      </c>
      <c r="G149" s="331" t="s">
        <v>177</v>
      </c>
      <c r="I149" s="330">
        <v>0.75</v>
      </c>
      <c r="J149" s="331" t="s">
        <v>924</v>
      </c>
      <c r="O149" s="330">
        <v>0.3622</v>
      </c>
      <c r="P149" s="332">
        <v>9.2</v>
      </c>
      <c r="Q149" s="330">
        <v>0.0965</v>
      </c>
      <c r="R149" s="332">
        <v>2.45</v>
      </c>
      <c r="V149" t="str">
        <f t="shared" si="2"/>
        <v>Cubic Feet/Second  &lt;&lt;&lt;&gt;&gt;&gt; Million Gallons/day </v>
      </c>
      <c r="W149" t="s">
        <v>318</v>
      </c>
      <c r="X149" t="s">
        <v>320</v>
      </c>
      <c r="Y149">
        <v>0.646317</v>
      </c>
    </row>
    <row r="150" spans="1:25" ht="15">
      <c r="A150" s="183" t="s">
        <v>162</v>
      </c>
      <c r="B150" s="339">
        <v>0.1406</v>
      </c>
      <c r="F150" s="330">
        <v>0.0635</v>
      </c>
      <c r="G150" s="331">
        <v>52</v>
      </c>
      <c r="I150" s="330">
        <v>0.7344</v>
      </c>
      <c r="J150" s="331" t="s">
        <v>921</v>
      </c>
      <c r="O150" s="330">
        <v>0.3642</v>
      </c>
      <c r="P150" s="332">
        <v>9.25</v>
      </c>
      <c r="Q150" s="330">
        <v>0.0945</v>
      </c>
      <c r="R150" s="332">
        <v>2.4</v>
      </c>
      <c r="V150" t="str">
        <f t="shared" si="2"/>
        <v>Cubic Inches  &lt;&lt;&lt;&gt;&gt;&gt; Cubic Centimeters</v>
      </c>
      <c r="W150" t="s">
        <v>237</v>
      </c>
      <c r="X150" t="s">
        <v>321</v>
      </c>
      <c r="Y150">
        <v>16.38706</v>
      </c>
    </row>
    <row r="151" spans="2:25" ht="15">
      <c r="B151" s="339">
        <v>0.1417</v>
      </c>
      <c r="D151" s="1">
        <v>3.6</v>
      </c>
      <c r="F151" s="330">
        <v>0.067</v>
      </c>
      <c r="G151" s="331">
        <v>51</v>
      </c>
      <c r="I151" s="330">
        <v>0.7188</v>
      </c>
      <c r="J151" s="331" t="s">
        <v>918</v>
      </c>
      <c r="O151" s="330">
        <v>0.3661</v>
      </c>
      <c r="P151" s="332">
        <v>9.3</v>
      </c>
      <c r="Q151" s="330">
        <v>0.0925</v>
      </c>
      <c r="R151" s="332">
        <v>2.35</v>
      </c>
      <c r="V151" t="str">
        <f t="shared" si="2"/>
        <v>Cubic Inches  &lt;&lt;&lt;&gt;&gt;&gt; Cubic Centimeters </v>
      </c>
      <c r="W151" t="s">
        <v>237</v>
      </c>
      <c r="X151" t="s">
        <v>305</v>
      </c>
      <c r="Y151">
        <v>16.39</v>
      </c>
    </row>
    <row r="152" spans="2:25" ht="15">
      <c r="B152" s="339">
        <v>0.14400000000000002</v>
      </c>
      <c r="C152" s="340">
        <v>27</v>
      </c>
      <c r="F152" s="330">
        <v>0.07</v>
      </c>
      <c r="G152" s="331">
        <v>50</v>
      </c>
      <c r="I152" s="330">
        <v>0.7031</v>
      </c>
      <c r="J152" s="331" t="s">
        <v>223</v>
      </c>
      <c r="O152" s="330">
        <v>0.3701</v>
      </c>
      <c r="P152" s="332">
        <v>9.4</v>
      </c>
      <c r="Q152" s="330">
        <v>0.0906</v>
      </c>
      <c r="R152" s="332">
        <v>2.3</v>
      </c>
      <c r="V152" t="str">
        <f t="shared" si="2"/>
        <v>Cubic Inches  &lt;&lt;&lt;&gt;&gt;&gt; Cubic Feet </v>
      </c>
      <c r="W152" t="s">
        <v>237</v>
      </c>
      <c r="X152" t="s">
        <v>1093</v>
      </c>
      <c r="Y152">
        <v>0.0005787</v>
      </c>
    </row>
    <row r="153" spans="2:25" ht="15">
      <c r="B153" s="339">
        <v>0.1457</v>
      </c>
      <c r="D153" s="1">
        <v>3.7</v>
      </c>
      <c r="F153" s="330">
        <v>0.073</v>
      </c>
      <c r="G153" s="331">
        <v>49</v>
      </c>
      <c r="I153" s="330">
        <v>0.6875</v>
      </c>
      <c r="J153" s="331" t="s">
        <v>220</v>
      </c>
      <c r="O153" s="330">
        <v>0.374</v>
      </c>
      <c r="P153" s="332">
        <v>9.5</v>
      </c>
      <c r="Q153" s="330">
        <v>0.0886</v>
      </c>
      <c r="R153" s="332">
        <v>2.25</v>
      </c>
      <c r="V153" t="str">
        <f t="shared" si="2"/>
        <v>Cubic Inches  &lt;&lt;&lt;&gt;&gt;&gt; Cubic Meters </v>
      </c>
      <c r="W153" t="s">
        <v>237</v>
      </c>
      <c r="X153" t="s">
        <v>238</v>
      </c>
      <c r="Y153">
        <v>1.638706E-05</v>
      </c>
    </row>
    <row r="154" spans="2:25" ht="15">
      <c r="B154" s="339">
        <v>0.147</v>
      </c>
      <c r="C154" s="340">
        <v>26</v>
      </c>
      <c r="F154" s="330">
        <v>0.076</v>
      </c>
      <c r="G154" s="331">
        <v>48</v>
      </c>
      <c r="I154" s="330">
        <v>0.6719</v>
      </c>
      <c r="J154" s="331" t="s">
        <v>218</v>
      </c>
      <c r="O154" s="330">
        <v>0.378</v>
      </c>
      <c r="P154" s="332">
        <v>9.6</v>
      </c>
      <c r="Q154" s="330">
        <v>0.08660000000000001</v>
      </c>
      <c r="R154" s="332">
        <v>2.2</v>
      </c>
      <c r="V154" t="str">
        <f t="shared" si="2"/>
        <v>Cubic Inches  &lt;&lt;&lt;&gt;&gt;&gt; Cubic Millimeters</v>
      </c>
      <c r="W154" t="s">
        <v>237</v>
      </c>
      <c r="X154" t="s">
        <v>322</v>
      </c>
      <c r="Y154">
        <v>16387.06</v>
      </c>
    </row>
    <row r="155" spans="2:25" ht="15">
      <c r="B155" s="339">
        <v>0.1476</v>
      </c>
      <c r="D155" s="1">
        <v>3.75</v>
      </c>
      <c r="F155" s="330">
        <v>0.0781</v>
      </c>
      <c r="G155" s="331" t="s">
        <v>201</v>
      </c>
      <c r="I155" s="330">
        <v>0.6562</v>
      </c>
      <c r="J155" s="331" t="s">
        <v>215</v>
      </c>
      <c r="O155" s="330">
        <v>0.3819</v>
      </c>
      <c r="P155" s="332">
        <v>9.7</v>
      </c>
      <c r="Q155" s="330">
        <v>0.08460000000000001</v>
      </c>
      <c r="R155" s="332">
        <v>2.15</v>
      </c>
      <c r="V155" t="str">
        <f t="shared" si="2"/>
        <v>Cubic Inches  &lt;&lt;&lt;&gt;&gt;&gt; Cubic Yards </v>
      </c>
      <c r="W155" t="s">
        <v>237</v>
      </c>
      <c r="X155" t="s">
        <v>306</v>
      </c>
      <c r="Y155">
        <v>2.14E-05</v>
      </c>
    </row>
    <row r="156" spans="2:25" ht="15">
      <c r="B156" s="339">
        <v>0.1495</v>
      </c>
      <c r="C156" s="340">
        <v>25</v>
      </c>
      <c r="F156" s="330">
        <v>0.0785</v>
      </c>
      <c r="G156" s="331">
        <v>47</v>
      </c>
      <c r="I156" s="330">
        <v>0.6406</v>
      </c>
      <c r="J156" s="331" t="s">
        <v>211</v>
      </c>
      <c r="O156" s="330">
        <v>0.3839</v>
      </c>
      <c r="P156" s="332">
        <v>9.75</v>
      </c>
      <c r="Q156" s="330">
        <v>0.08270000000000001</v>
      </c>
      <c r="R156" s="332">
        <v>2.1</v>
      </c>
      <c r="V156" t="str">
        <f t="shared" si="2"/>
        <v>Cubic Inches  &lt;&lt;&lt;&gt;&gt;&gt; Gallons </v>
      </c>
      <c r="W156" t="s">
        <v>237</v>
      </c>
      <c r="X156" t="s">
        <v>1125</v>
      </c>
      <c r="Y156">
        <v>0.004329</v>
      </c>
    </row>
    <row r="157" spans="2:25" ht="15">
      <c r="B157" s="339">
        <v>0.1496</v>
      </c>
      <c r="D157" s="1">
        <v>3.8</v>
      </c>
      <c r="F157" s="330">
        <v>0.081</v>
      </c>
      <c r="G157" s="331">
        <v>46</v>
      </c>
      <c r="I157" s="330">
        <v>0.625</v>
      </c>
      <c r="J157" s="331" t="s">
        <v>209</v>
      </c>
      <c r="O157" s="330">
        <v>0.3858</v>
      </c>
      <c r="P157" s="332">
        <v>9.8</v>
      </c>
      <c r="Q157" s="330">
        <v>0.08070000000000001</v>
      </c>
      <c r="R157" s="332">
        <v>2.05</v>
      </c>
      <c r="V157" t="str">
        <f t="shared" si="2"/>
        <v>Cubic Inches  &lt;&lt;&lt;&gt;&gt;&gt; Mil-Feet </v>
      </c>
      <c r="W157" t="s">
        <v>237</v>
      </c>
      <c r="X157" t="s">
        <v>323</v>
      </c>
      <c r="Y157">
        <v>106100</v>
      </c>
    </row>
    <row r="158" spans="2:25" ht="15">
      <c r="B158" s="339">
        <v>0.152</v>
      </c>
      <c r="C158" s="340">
        <v>24</v>
      </c>
      <c r="F158" s="330">
        <v>0.082</v>
      </c>
      <c r="G158" s="331">
        <v>45</v>
      </c>
      <c r="I158" s="330">
        <v>0.6094</v>
      </c>
      <c r="J158" s="331" t="s">
        <v>207</v>
      </c>
      <c r="O158" s="330">
        <v>0.3898</v>
      </c>
      <c r="P158" s="332">
        <v>9.9</v>
      </c>
      <c r="Q158" s="330">
        <v>0.0787</v>
      </c>
      <c r="R158" s="332">
        <v>2</v>
      </c>
      <c r="V158" t="str">
        <f t="shared" si="2"/>
        <v>Cubic Inches  &lt;&lt;&lt;&gt;&gt;&gt; Pints (US liq.) </v>
      </c>
      <c r="W158" t="s">
        <v>237</v>
      </c>
      <c r="X158" t="s">
        <v>308</v>
      </c>
      <c r="Y158">
        <v>0.03463</v>
      </c>
    </row>
    <row r="159" spans="2:25" ht="15">
      <c r="B159" s="339">
        <v>0.1535</v>
      </c>
      <c r="D159" s="1">
        <v>3.9</v>
      </c>
      <c r="F159" s="330">
        <v>0.08600000000000001</v>
      </c>
      <c r="G159" s="331">
        <v>44</v>
      </c>
      <c r="I159" s="330">
        <v>0.5938</v>
      </c>
      <c r="J159" s="331" t="s">
        <v>204</v>
      </c>
      <c r="O159" s="330">
        <v>0.3937</v>
      </c>
      <c r="P159" s="332">
        <v>10</v>
      </c>
      <c r="Q159" s="330">
        <v>0.07680000000000001</v>
      </c>
      <c r="R159" s="332">
        <v>1.95</v>
      </c>
      <c r="V159" t="str">
        <f t="shared" si="2"/>
        <v>Cubic Inches  &lt;&lt;&lt;&gt;&gt;&gt; Quarts (US liq.) </v>
      </c>
      <c r="W159" t="s">
        <v>237</v>
      </c>
      <c r="X159" t="s">
        <v>324</v>
      </c>
      <c r="Y159">
        <v>0.01732</v>
      </c>
    </row>
    <row r="160" spans="2:25" ht="15">
      <c r="B160" s="339">
        <v>0.154</v>
      </c>
      <c r="C160" s="340">
        <v>23</v>
      </c>
      <c r="F160" s="330">
        <v>0.089</v>
      </c>
      <c r="G160" s="331">
        <v>43</v>
      </c>
      <c r="I160" s="330">
        <v>0.5781</v>
      </c>
      <c r="J160" s="331" t="s">
        <v>200</v>
      </c>
      <c r="O160" s="330">
        <v>0.4134</v>
      </c>
      <c r="P160" s="332">
        <v>10.5</v>
      </c>
      <c r="Q160" s="330">
        <v>0.0748</v>
      </c>
      <c r="R160" s="332">
        <v>1.9</v>
      </c>
      <c r="V160" t="str">
        <f t="shared" si="2"/>
        <v>Cubic Meters  &lt;&lt;&lt;&gt;&gt;&gt; Bushels (dry) </v>
      </c>
      <c r="W160" t="s">
        <v>238</v>
      </c>
      <c r="X160" t="s">
        <v>304</v>
      </c>
      <c r="Y160">
        <v>28.38</v>
      </c>
    </row>
    <row r="161" spans="1:25" ht="15">
      <c r="A161" s="183" t="s">
        <v>179</v>
      </c>
      <c r="B161" s="339">
        <v>0.1562</v>
      </c>
      <c r="F161" s="330">
        <v>0.0935</v>
      </c>
      <c r="G161" s="331">
        <v>42</v>
      </c>
      <c r="I161" s="330">
        <v>0.5625</v>
      </c>
      <c r="J161" s="331" t="s">
        <v>196</v>
      </c>
      <c r="O161" s="330">
        <v>0.4331</v>
      </c>
      <c r="P161" s="332">
        <v>11</v>
      </c>
      <c r="Q161" s="330">
        <v>0.0728</v>
      </c>
      <c r="R161" s="332">
        <v>1.85</v>
      </c>
      <c r="V161" t="str">
        <f t="shared" si="2"/>
        <v>Cubic Meters  &lt;&lt;&lt;&gt;&gt;&gt; Cubic Centimeters </v>
      </c>
      <c r="W161" t="s">
        <v>238</v>
      </c>
      <c r="X161" t="s">
        <v>305</v>
      </c>
      <c r="Y161">
        <v>1000000</v>
      </c>
    </row>
    <row r="162" spans="2:25" ht="15">
      <c r="B162" s="339">
        <v>0.157</v>
      </c>
      <c r="C162" s="340">
        <v>22</v>
      </c>
      <c r="F162" s="330">
        <v>0.09380000000000001</v>
      </c>
      <c r="G162" s="331" t="s">
        <v>225</v>
      </c>
      <c r="I162" s="330">
        <v>0.5469</v>
      </c>
      <c r="J162" s="331" t="s">
        <v>193</v>
      </c>
      <c r="O162" s="330">
        <v>0.4528</v>
      </c>
      <c r="P162" s="332">
        <v>11.5</v>
      </c>
      <c r="Q162" s="330">
        <v>0.0709</v>
      </c>
      <c r="R162" s="332">
        <v>1.8</v>
      </c>
      <c r="V162" t="str">
        <f t="shared" si="2"/>
        <v>Cubic Meters  &lt;&lt;&lt;&gt;&gt;&gt; Cubic Feet </v>
      </c>
      <c r="W162" t="s">
        <v>238</v>
      </c>
      <c r="X162" t="s">
        <v>1093</v>
      </c>
      <c r="Y162">
        <v>35.31466</v>
      </c>
    </row>
    <row r="163" spans="2:25" ht="15">
      <c r="B163" s="339">
        <v>0.1575</v>
      </c>
      <c r="D163" s="1">
        <v>4</v>
      </c>
      <c r="F163" s="330">
        <v>0.096</v>
      </c>
      <c r="G163" s="331">
        <v>41</v>
      </c>
      <c r="I163" s="330">
        <v>0.5312</v>
      </c>
      <c r="J163" s="331" t="s">
        <v>191</v>
      </c>
      <c r="O163" s="330">
        <v>0.4724</v>
      </c>
      <c r="P163" s="332">
        <v>12</v>
      </c>
      <c r="Q163" s="330">
        <v>0.0689</v>
      </c>
      <c r="R163" s="332">
        <v>1.75</v>
      </c>
      <c r="V163" t="str">
        <f t="shared" si="2"/>
        <v>Cubic Meters  &lt;&lt;&lt;&gt;&gt;&gt; Cubic Inches </v>
      </c>
      <c r="W163" t="s">
        <v>238</v>
      </c>
      <c r="X163" t="s">
        <v>237</v>
      </c>
      <c r="Y163">
        <v>61023.76</v>
      </c>
    </row>
    <row r="164" spans="2:25" ht="15">
      <c r="B164" s="339">
        <v>0.159</v>
      </c>
      <c r="C164" s="340">
        <v>21</v>
      </c>
      <c r="F164" s="330">
        <v>0.098</v>
      </c>
      <c r="G164" s="331">
        <v>40</v>
      </c>
      <c r="I164" s="330">
        <v>0.5156</v>
      </c>
      <c r="J164" s="331" t="s">
        <v>189</v>
      </c>
      <c r="O164" s="330">
        <v>0.4921</v>
      </c>
      <c r="P164" s="332">
        <v>12.5</v>
      </c>
      <c r="Q164" s="330">
        <v>0.0669</v>
      </c>
      <c r="R164" s="332">
        <v>1.7</v>
      </c>
      <c r="V164" t="str">
        <f t="shared" si="2"/>
        <v>Cubic Meters  &lt;&lt;&lt;&gt;&gt;&gt; Cubic Yards </v>
      </c>
      <c r="W164" t="s">
        <v>238</v>
      </c>
      <c r="X164" t="s">
        <v>306</v>
      </c>
      <c r="Y164">
        <v>1.307951</v>
      </c>
    </row>
    <row r="165" spans="2:25" ht="15">
      <c r="B165" s="339">
        <v>0.161</v>
      </c>
      <c r="C165" s="340">
        <v>20</v>
      </c>
      <c r="F165" s="330">
        <v>0.0995</v>
      </c>
      <c r="G165" s="331">
        <v>39</v>
      </c>
      <c r="I165" s="330">
        <v>0.5</v>
      </c>
      <c r="J165" s="331" t="s">
        <v>185</v>
      </c>
      <c r="O165" s="330">
        <v>0.5118</v>
      </c>
      <c r="P165" s="332">
        <v>13</v>
      </c>
      <c r="Q165" s="330">
        <v>0.065</v>
      </c>
      <c r="R165" s="332">
        <v>1.65</v>
      </c>
      <c r="V165" t="str">
        <f t="shared" si="2"/>
        <v>Cubic Meters  &lt;&lt;&lt;&gt;&gt;&gt; Gallon (U.K. liquid)</v>
      </c>
      <c r="W165" t="s">
        <v>238</v>
      </c>
      <c r="X165" t="s">
        <v>325</v>
      </c>
      <c r="Y165">
        <v>219.9692</v>
      </c>
    </row>
    <row r="166" spans="2:25" ht="15">
      <c r="B166" s="339">
        <v>0.1614</v>
      </c>
      <c r="D166" s="1">
        <v>4.1</v>
      </c>
      <c r="F166" s="330">
        <v>0.1015</v>
      </c>
      <c r="G166" s="331">
        <v>38</v>
      </c>
      <c r="I166" s="330">
        <v>0.4844</v>
      </c>
      <c r="J166" s="331" t="s">
        <v>182</v>
      </c>
      <c r="O166" s="330">
        <v>0.5315</v>
      </c>
      <c r="P166" s="332">
        <v>13.5</v>
      </c>
      <c r="Q166" s="330">
        <v>0.063</v>
      </c>
      <c r="R166" s="332">
        <v>1.6</v>
      </c>
      <c r="V166" t="str">
        <f t="shared" si="2"/>
        <v>Cubic Meters  &lt;&lt;&lt;&gt;&gt;&gt; Gallons (US liq.) </v>
      </c>
      <c r="W166" t="s">
        <v>238</v>
      </c>
      <c r="X166" t="s">
        <v>307</v>
      </c>
      <c r="Y166">
        <v>264.172</v>
      </c>
    </row>
    <row r="167" spans="2:25" ht="15">
      <c r="B167" s="339">
        <v>0.1654</v>
      </c>
      <c r="D167" s="1">
        <v>4.2</v>
      </c>
      <c r="F167" s="330">
        <v>0.10400000000000001</v>
      </c>
      <c r="G167" s="331">
        <v>37</v>
      </c>
      <c r="I167" s="330">
        <v>0.4688</v>
      </c>
      <c r="J167" s="331" t="s">
        <v>178</v>
      </c>
      <c r="O167" s="330">
        <v>0.5512</v>
      </c>
      <c r="P167" s="332">
        <v>14</v>
      </c>
      <c r="Q167" s="330">
        <v>0.061000000000000006</v>
      </c>
      <c r="R167" s="332">
        <v>1.55</v>
      </c>
      <c r="V167" t="str">
        <f t="shared" si="2"/>
        <v>Cubic Meters  &lt;&lt;&lt;&gt;&gt;&gt; Liters </v>
      </c>
      <c r="W167" t="s">
        <v>238</v>
      </c>
      <c r="X167" t="s">
        <v>239</v>
      </c>
      <c r="Y167">
        <v>1000</v>
      </c>
    </row>
    <row r="168" spans="2:25" ht="15">
      <c r="B168" s="339">
        <v>0.166</v>
      </c>
      <c r="C168" s="340">
        <v>19</v>
      </c>
      <c r="F168" s="330">
        <v>0.1065</v>
      </c>
      <c r="G168" s="331">
        <v>36</v>
      </c>
      <c r="I168" s="330">
        <v>0.4531</v>
      </c>
      <c r="J168" s="331" t="s">
        <v>175</v>
      </c>
      <c r="O168" s="330">
        <v>0.5709</v>
      </c>
      <c r="P168" s="332">
        <v>14.5</v>
      </c>
      <c r="Q168" s="330">
        <v>0.0591</v>
      </c>
      <c r="R168" s="332">
        <v>1.5</v>
      </c>
      <c r="V168" t="str">
        <f t="shared" si="2"/>
        <v>Cubic Meters  &lt;&lt;&lt;&gt;&gt;&gt; Pints (US liq.) </v>
      </c>
      <c r="W168" t="s">
        <v>238</v>
      </c>
      <c r="X168" t="s">
        <v>308</v>
      </c>
      <c r="Y168">
        <v>2113.376</v>
      </c>
    </row>
    <row r="169" spans="2:25" ht="15">
      <c r="B169" s="339">
        <v>0.1673</v>
      </c>
      <c r="D169" s="1">
        <v>4.25</v>
      </c>
      <c r="F169" s="330">
        <v>0.1094</v>
      </c>
      <c r="G169" s="331" t="s">
        <v>937</v>
      </c>
      <c r="I169" s="330">
        <v>0.4375</v>
      </c>
      <c r="J169" s="331" t="s">
        <v>172</v>
      </c>
      <c r="O169" s="330">
        <v>0.5906</v>
      </c>
      <c r="P169" s="332">
        <v>15</v>
      </c>
      <c r="Q169" s="330">
        <v>0.057100000000000005</v>
      </c>
      <c r="R169" s="332">
        <v>1.45</v>
      </c>
      <c r="V169" t="str">
        <f t="shared" si="2"/>
        <v>Cubic Meters  &lt;&lt;&lt;&gt;&gt;&gt; Quarts (US liq.) </v>
      </c>
      <c r="W169" t="s">
        <v>238</v>
      </c>
      <c r="X169" t="s">
        <v>324</v>
      </c>
      <c r="Y169">
        <v>1056.688</v>
      </c>
    </row>
    <row r="170" spans="2:25" ht="15">
      <c r="B170" s="339">
        <v>0.1693</v>
      </c>
      <c r="D170" s="1">
        <v>4.3</v>
      </c>
      <c r="F170" s="330">
        <v>0.11</v>
      </c>
      <c r="G170" s="331">
        <v>35</v>
      </c>
      <c r="I170" s="330">
        <v>0.4219</v>
      </c>
      <c r="J170" s="331" t="s">
        <v>169</v>
      </c>
      <c r="O170" s="330">
        <v>0.6102</v>
      </c>
      <c r="P170" s="332">
        <v>15.5</v>
      </c>
      <c r="Q170" s="330">
        <v>0.0551</v>
      </c>
      <c r="R170" s="332">
        <v>1.4</v>
      </c>
      <c r="V170" t="str">
        <f t="shared" si="2"/>
        <v>Cubic Meters per Minute &lt;&lt;&lt;&gt;&gt;&gt; Gallons (U.K. liquid) per Minute</v>
      </c>
      <c r="W170" t="s">
        <v>326</v>
      </c>
      <c r="X170" t="s">
        <v>327</v>
      </c>
      <c r="Y170">
        <v>219.9692</v>
      </c>
    </row>
    <row r="171" spans="2:25" ht="15">
      <c r="B171" s="339">
        <v>0.1695</v>
      </c>
      <c r="C171" s="340">
        <v>18</v>
      </c>
      <c r="F171" s="330">
        <v>0.111</v>
      </c>
      <c r="G171" s="331">
        <v>34</v>
      </c>
      <c r="I171" s="330">
        <v>0.41300000000000003</v>
      </c>
      <c r="J171" s="331" t="s">
        <v>102</v>
      </c>
      <c r="O171" s="330">
        <v>0.6299</v>
      </c>
      <c r="P171" s="332">
        <v>16</v>
      </c>
      <c r="Q171" s="330">
        <v>0.0531</v>
      </c>
      <c r="R171" s="332">
        <v>1.35</v>
      </c>
      <c r="V171" t="str">
        <f t="shared" si="2"/>
        <v>Cubic Meters per Minute &lt;&lt;&lt;&gt;&gt;&gt; Gallons (U.S. liquid) per Minute</v>
      </c>
      <c r="W171" t="s">
        <v>326</v>
      </c>
      <c r="X171" t="s">
        <v>328</v>
      </c>
      <c r="Y171">
        <v>264.172</v>
      </c>
    </row>
    <row r="172" spans="1:25" ht="15">
      <c r="A172" s="183" t="s">
        <v>197</v>
      </c>
      <c r="B172" s="339">
        <v>0.1719</v>
      </c>
      <c r="F172" s="330">
        <v>0.113</v>
      </c>
      <c r="G172" s="331">
        <v>33</v>
      </c>
      <c r="I172" s="330">
        <v>0.4062</v>
      </c>
      <c r="J172" s="331" t="s">
        <v>165</v>
      </c>
      <c r="O172" s="330">
        <v>0.6496</v>
      </c>
      <c r="P172" s="332">
        <v>16.5</v>
      </c>
      <c r="Q172" s="330">
        <v>0.0512</v>
      </c>
      <c r="R172" s="332">
        <v>1.3</v>
      </c>
      <c r="V172" t="str">
        <f t="shared" si="2"/>
        <v>Cubic Meters per Second &lt;&lt;&lt;&gt;&gt;&gt; Cubic Feet per Minute</v>
      </c>
      <c r="W172" t="s">
        <v>311</v>
      </c>
      <c r="X172" t="s">
        <v>310</v>
      </c>
      <c r="Y172">
        <v>2118.88</v>
      </c>
    </row>
    <row r="173" spans="2:25" ht="15">
      <c r="B173" s="339">
        <v>0.17300000000000001</v>
      </c>
      <c r="C173" s="340">
        <v>17</v>
      </c>
      <c r="F173" s="330">
        <v>0.116</v>
      </c>
      <c r="G173" s="331">
        <v>32</v>
      </c>
      <c r="I173" s="330">
        <v>0.404</v>
      </c>
      <c r="J173" s="331" t="s">
        <v>101</v>
      </c>
      <c r="O173" s="330">
        <v>0.6693</v>
      </c>
      <c r="P173" s="332">
        <v>17</v>
      </c>
      <c r="Q173" s="330">
        <v>0.0492</v>
      </c>
      <c r="R173" s="332">
        <v>1.25</v>
      </c>
      <c r="V173" t="str">
        <f t="shared" si="2"/>
        <v>Cubic Meters per Second &lt;&lt;&lt;&gt;&gt;&gt; Gallons (U.K. liquid) per Minute</v>
      </c>
      <c r="W173" t="s">
        <v>311</v>
      </c>
      <c r="X173" t="s">
        <v>327</v>
      </c>
      <c r="Y173">
        <v>13198.15</v>
      </c>
    </row>
    <row r="174" spans="2:25" ht="15">
      <c r="B174" s="339">
        <v>0.1732</v>
      </c>
      <c r="D174" s="1">
        <v>4.4</v>
      </c>
      <c r="F174" s="330">
        <v>0.12</v>
      </c>
      <c r="G174" s="331">
        <v>31</v>
      </c>
      <c r="I174" s="330">
        <v>0.397</v>
      </c>
      <c r="J174" s="331" t="s">
        <v>120</v>
      </c>
      <c r="O174" s="330">
        <v>0.6890000000000001</v>
      </c>
      <c r="P174" s="332">
        <v>17.5</v>
      </c>
      <c r="Q174" s="330">
        <v>0.0472</v>
      </c>
      <c r="R174" s="332">
        <v>1.2</v>
      </c>
      <c r="V174" t="str">
        <f t="shared" si="2"/>
        <v>Cubic Meters per Second &lt;&lt;&lt;&gt;&gt;&gt; Gallons (U.S. liquid) per Minute</v>
      </c>
      <c r="W174" t="s">
        <v>311</v>
      </c>
      <c r="X174" t="s">
        <v>328</v>
      </c>
      <c r="Y174">
        <v>15850.32</v>
      </c>
    </row>
    <row r="175" spans="2:25" ht="15">
      <c r="B175" s="339">
        <v>0.177</v>
      </c>
      <c r="C175" s="340">
        <v>16</v>
      </c>
      <c r="F175" s="330">
        <v>0.125</v>
      </c>
      <c r="G175" s="331" t="s">
        <v>147</v>
      </c>
      <c r="I175" s="330">
        <v>0.3906</v>
      </c>
      <c r="J175" s="331" t="s">
        <v>158</v>
      </c>
      <c r="O175" s="330">
        <v>0.7087</v>
      </c>
      <c r="P175" s="332">
        <v>18</v>
      </c>
      <c r="Q175" s="330">
        <v>0.0453</v>
      </c>
      <c r="R175" s="332">
        <v>1.15</v>
      </c>
      <c r="V175" t="str">
        <f t="shared" si="2"/>
        <v>Cubic Yards  &lt;&lt;&lt;&gt;&gt;&gt; Cubic Centimeters </v>
      </c>
      <c r="W175" t="s">
        <v>306</v>
      </c>
      <c r="X175" t="s">
        <v>305</v>
      </c>
      <c r="Y175">
        <v>764600</v>
      </c>
    </row>
    <row r="176" spans="2:25" ht="15">
      <c r="B176" s="339">
        <v>0.1772</v>
      </c>
      <c r="D176" s="1">
        <v>4.5</v>
      </c>
      <c r="F176" s="330">
        <v>0.1285</v>
      </c>
      <c r="G176" s="331">
        <v>30</v>
      </c>
      <c r="I176" s="330">
        <v>0.386</v>
      </c>
      <c r="J176" s="331" t="s">
        <v>155</v>
      </c>
      <c r="O176" s="330">
        <v>0.7283</v>
      </c>
      <c r="P176" s="332">
        <v>18.5</v>
      </c>
      <c r="Q176" s="330">
        <v>0.043300000000000005</v>
      </c>
      <c r="R176" s="332">
        <v>1.1</v>
      </c>
      <c r="V176" t="str">
        <f t="shared" si="2"/>
        <v>Cubic Yards  &lt;&lt;&lt;&gt;&gt;&gt; Cubic Feet </v>
      </c>
      <c r="W176" t="s">
        <v>306</v>
      </c>
      <c r="X176" t="s">
        <v>1093</v>
      </c>
      <c r="Y176">
        <v>27</v>
      </c>
    </row>
    <row r="177" spans="2:25" ht="15">
      <c r="B177" s="339">
        <v>0.18</v>
      </c>
      <c r="C177" s="340">
        <v>15</v>
      </c>
      <c r="F177" s="330">
        <v>0.136</v>
      </c>
      <c r="G177" s="331">
        <v>29</v>
      </c>
      <c r="I177" s="330">
        <v>0.377</v>
      </c>
      <c r="J177" s="331" t="s">
        <v>148</v>
      </c>
      <c r="O177" s="330">
        <v>0.748</v>
      </c>
      <c r="P177" s="332">
        <v>19</v>
      </c>
      <c r="Q177" s="330">
        <v>0.0413</v>
      </c>
      <c r="R177" s="332">
        <v>1.05</v>
      </c>
      <c r="V177" t="str">
        <f t="shared" si="2"/>
        <v>Cubic Yards  &lt;&lt;&lt;&gt;&gt;&gt; Cubic Inches </v>
      </c>
      <c r="W177" t="s">
        <v>306</v>
      </c>
      <c r="X177" t="s">
        <v>237</v>
      </c>
      <c r="Y177">
        <v>46656</v>
      </c>
    </row>
    <row r="178" spans="2:25" ht="15">
      <c r="B178" s="339">
        <v>0.1811</v>
      </c>
      <c r="D178" s="1">
        <v>4.6</v>
      </c>
      <c r="F178" s="330">
        <v>0.1405</v>
      </c>
      <c r="G178" s="331">
        <v>28</v>
      </c>
      <c r="I178" s="330">
        <v>0.375</v>
      </c>
      <c r="J178" s="331" t="s">
        <v>145</v>
      </c>
      <c r="O178" s="330">
        <v>0.7677</v>
      </c>
      <c r="P178" s="332">
        <v>19.5</v>
      </c>
      <c r="Q178" s="330">
        <v>0.0394</v>
      </c>
      <c r="R178" s="332">
        <v>1</v>
      </c>
      <c r="V178" t="str">
        <f t="shared" si="2"/>
        <v>Cubic Yards  &lt;&lt;&lt;&gt;&gt;&gt; Cubic Meters </v>
      </c>
      <c r="W178" t="s">
        <v>306</v>
      </c>
      <c r="X178" t="s">
        <v>238</v>
      </c>
      <c r="Y178">
        <v>0.7646</v>
      </c>
    </row>
    <row r="179" spans="2:25" ht="15">
      <c r="B179" s="339">
        <v>0.182</v>
      </c>
      <c r="C179" s="340">
        <v>14</v>
      </c>
      <c r="F179" s="330">
        <v>0.1406</v>
      </c>
      <c r="G179" s="331" t="s">
        <v>162</v>
      </c>
      <c r="I179" s="330">
        <v>0.368</v>
      </c>
      <c r="J179" s="331" t="s">
        <v>948</v>
      </c>
      <c r="O179" s="330">
        <v>0.7874</v>
      </c>
      <c r="P179" s="332">
        <v>20</v>
      </c>
      <c r="Q179" s="330">
        <v>0.0374</v>
      </c>
      <c r="R179" s="332">
        <v>0.95</v>
      </c>
      <c r="V179" t="str">
        <f t="shared" si="2"/>
        <v>Cubic Yards  &lt;&lt;&lt;&gt;&gt;&gt; Gallons (US liq.) </v>
      </c>
      <c r="W179" t="s">
        <v>306</v>
      </c>
      <c r="X179" t="s">
        <v>307</v>
      </c>
      <c r="Y179">
        <v>202</v>
      </c>
    </row>
    <row r="180" spans="2:25" ht="15">
      <c r="B180" s="339">
        <v>0.185</v>
      </c>
      <c r="C180" s="340">
        <v>13</v>
      </c>
      <c r="D180" s="1">
        <v>4.7</v>
      </c>
      <c r="F180" s="330">
        <v>0.14400000000000002</v>
      </c>
      <c r="G180" s="331">
        <v>27</v>
      </c>
      <c r="I180" s="330">
        <v>0.3594</v>
      </c>
      <c r="J180" s="331" t="s">
        <v>943</v>
      </c>
      <c r="O180" s="330">
        <v>0.8071</v>
      </c>
      <c r="P180" s="332">
        <v>20.5</v>
      </c>
      <c r="Q180" s="330">
        <v>0.0354</v>
      </c>
      <c r="R180" s="332">
        <v>0.9</v>
      </c>
      <c r="V180" t="str">
        <f t="shared" si="2"/>
        <v>Cubic Yards  &lt;&lt;&lt;&gt;&gt;&gt; Liters </v>
      </c>
      <c r="W180" t="s">
        <v>306</v>
      </c>
      <c r="X180" t="s">
        <v>239</v>
      </c>
      <c r="Y180">
        <v>764.6</v>
      </c>
    </row>
    <row r="181" spans="2:25" ht="15">
      <c r="B181" s="339">
        <v>0.187</v>
      </c>
      <c r="D181" s="1">
        <v>4.75</v>
      </c>
      <c r="F181" s="330">
        <v>0.147</v>
      </c>
      <c r="G181" s="331">
        <v>26</v>
      </c>
      <c r="I181" s="330">
        <v>0.358</v>
      </c>
      <c r="J181" s="331" t="s">
        <v>939</v>
      </c>
      <c r="O181" s="330">
        <v>0.8268</v>
      </c>
      <c r="P181" s="332">
        <v>21</v>
      </c>
      <c r="Q181" s="330">
        <v>0.0335</v>
      </c>
      <c r="R181" s="332">
        <v>0.85</v>
      </c>
      <c r="V181" t="str">
        <f t="shared" si="2"/>
        <v>Cubic Yards  &lt;&lt;&lt;&gt;&gt;&gt; Pints (US liq.) </v>
      </c>
      <c r="W181" t="s">
        <v>306</v>
      </c>
      <c r="X181" t="s">
        <v>308</v>
      </c>
      <c r="Y181">
        <v>1615.9</v>
      </c>
    </row>
    <row r="182" spans="1:25" ht="15">
      <c r="A182" s="183" t="s">
        <v>214</v>
      </c>
      <c r="B182" s="339">
        <v>0.1875</v>
      </c>
      <c r="F182" s="330">
        <v>0.1495</v>
      </c>
      <c r="G182" s="331">
        <v>25</v>
      </c>
      <c r="I182" s="330">
        <v>0.34800000000000003</v>
      </c>
      <c r="J182" s="331" t="s">
        <v>933</v>
      </c>
      <c r="O182" s="330">
        <v>0.8465</v>
      </c>
      <c r="P182" s="332">
        <v>21.5</v>
      </c>
      <c r="Q182" s="330">
        <v>0.0315</v>
      </c>
      <c r="R182" s="332">
        <v>0.8</v>
      </c>
      <c r="V182" t="str">
        <f t="shared" si="2"/>
        <v>Cubic Yards  &lt;&lt;&lt;&gt;&gt;&gt; Quarts (US liq.) </v>
      </c>
      <c r="W182" t="s">
        <v>306</v>
      </c>
      <c r="X182" t="s">
        <v>324</v>
      </c>
      <c r="Y182">
        <v>807.9</v>
      </c>
    </row>
    <row r="183" spans="2:25" ht="15">
      <c r="B183" s="339">
        <v>0.189</v>
      </c>
      <c r="C183" s="340">
        <v>12</v>
      </c>
      <c r="D183" s="1">
        <v>4.8</v>
      </c>
      <c r="F183" s="330">
        <v>0.152</v>
      </c>
      <c r="G183" s="331">
        <v>24</v>
      </c>
      <c r="I183" s="330">
        <v>0.3438</v>
      </c>
      <c r="J183" s="331" t="s">
        <v>929</v>
      </c>
      <c r="O183" s="330">
        <v>0.8661</v>
      </c>
      <c r="P183" s="332">
        <v>22</v>
      </c>
      <c r="Q183" s="330">
        <v>0.0295</v>
      </c>
      <c r="R183" s="332">
        <v>0.75</v>
      </c>
      <c r="V183" t="str">
        <f t="shared" si="2"/>
        <v>Cubic Yards/Minute  &lt;&lt;&lt;&gt;&gt;&gt; Gallons/Second </v>
      </c>
      <c r="W183" t="s">
        <v>329</v>
      </c>
      <c r="X183" t="s">
        <v>315</v>
      </c>
      <c r="Y183">
        <v>3.367</v>
      </c>
    </row>
    <row r="184" spans="2:25" ht="15">
      <c r="B184" s="339">
        <v>0.191</v>
      </c>
      <c r="C184" s="340">
        <v>11</v>
      </c>
      <c r="F184" s="330">
        <v>0.154</v>
      </c>
      <c r="G184" s="331">
        <v>23</v>
      </c>
      <c r="I184" s="330">
        <v>0.339</v>
      </c>
      <c r="J184" s="331" t="s">
        <v>926</v>
      </c>
      <c r="O184" s="330">
        <v>0.8858</v>
      </c>
      <c r="P184" s="332">
        <v>22.5</v>
      </c>
      <c r="Q184" s="330">
        <v>0.0276</v>
      </c>
      <c r="R184" s="332">
        <v>0.7</v>
      </c>
      <c r="V184" t="str">
        <f t="shared" si="2"/>
        <v>Cubic Yards/Minute  &lt;&lt;&lt;&gt;&gt;&gt; Liters/Second </v>
      </c>
      <c r="W184" t="s">
        <v>329</v>
      </c>
      <c r="X184" t="s">
        <v>316</v>
      </c>
      <c r="Y184">
        <v>12.74</v>
      </c>
    </row>
    <row r="185" spans="2:25" ht="15">
      <c r="B185" s="339">
        <v>0.1929</v>
      </c>
      <c r="D185" s="1">
        <v>4.9</v>
      </c>
      <c r="F185" s="330">
        <v>0.1562</v>
      </c>
      <c r="G185" s="331" t="s">
        <v>179</v>
      </c>
      <c r="I185" s="330">
        <v>0.332</v>
      </c>
      <c r="J185" s="331" t="s">
        <v>920</v>
      </c>
      <c r="O185" s="330">
        <v>0.9055</v>
      </c>
      <c r="P185" s="332">
        <v>23</v>
      </c>
      <c r="Q185" s="330">
        <v>0.0256</v>
      </c>
      <c r="R185" s="332">
        <v>0.65</v>
      </c>
      <c r="V185" t="str">
        <f t="shared" si="2"/>
        <v>Cubic Yards/Minutes  &lt;&lt;&lt;&gt;&gt;&gt; Cubic Feet/Seconds </v>
      </c>
      <c r="W185" t="s">
        <v>330</v>
      </c>
      <c r="X185" t="s">
        <v>331</v>
      </c>
      <c r="Y185">
        <v>0.45</v>
      </c>
    </row>
    <row r="186" spans="2:25" ht="15">
      <c r="B186" s="339">
        <v>0.1935</v>
      </c>
      <c r="C186" s="340">
        <v>10</v>
      </c>
      <c r="F186" s="330">
        <v>0.157</v>
      </c>
      <c r="G186" s="331">
        <v>22</v>
      </c>
      <c r="I186" s="330">
        <v>0.3281</v>
      </c>
      <c r="J186" s="331" t="s">
        <v>226</v>
      </c>
      <c r="O186" s="330">
        <v>0.9252</v>
      </c>
      <c r="P186" s="332">
        <v>23.5</v>
      </c>
      <c r="Q186" s="330">
        <v>0.0236</v>
      </c>
      <c r="R186" s="332">
        <v>0.6</v>
      </c>
      <c r="V186" t="str">
        <f t="shared" si="2"/>
        <v>Deciliters  &lt;&lt;&lt;&gt;&gt;&gt; Liters </v>
      </c>
      <c r="W186" t="s">
        <v>332</v>
      </c>
      <c r="X186" t="s">
        <v>239</v>
      </c>
      <c r="Y186">
        <v>0.1</v>
      </c>
    </row>
    <row r="187" spans="2:25" ht="15">
      <c r="B187" s="339">
        <v>0.196</v>
      </c>
      <c r="C187" s="340">
        <v>9</v>
      </c>
      <c r="F187" s="330">
        <v>0.159</v>
      </c>
      <c r="G187" s="331">
        <v>21</v>
      </c>
      <c r="I187" s="330">
        <v>0.323</v>
      </c>
      <c r="J187" s="331" t="s">
        <v>221</v>
      </c>
      <c r="O187" s="330">
        <v>0.9449</v>
      </c>
      <c r="P187" s="332">
        <v>24</v>
      </c>
      <c r="Q187" s="330">
        <v>0.0217</v>
      </c>
      <c r="R187" s="332">
        <v>0.55</v>
      </c>
      <c r="V187" t="str">
        <f t="shared" si="2"/>
        <v>Decimeters &lt;&lt;&lt;&gt;&gt;&gt; Meters</v>
      </c>
      <c r="W187" t="s">
        <v>333</v>
      </c>
      <c r="X187" t="s">
        <v>64</v>
      </c>
      <c r="Y187">
        <v>0.1</v>
      </c>
    </row>
    <row r="188" spans="2:25" ht="15">
      <c r="B188" s="339">
        <v>0.1969</v>
      </c>
      <c r="D188" s="1">
        <v>5</v>
      </c>
      <c r="F188" s="330">
        <v>0.161</v>
      </c>
      <c r="G188" s="331">
        <v>20</v>
      </c>
      <c r="I188" s="330">
        <v>0.316</v>
      </c>
      <c r="J188" s="331" t="s">
        <v>216</v>
      </c>
      <c r="O188" s="330">
        <v>0.9646</v>
      </c>
      <c r="P188" s="332">
        <v>24.5</v>
      </c>
      <c r="Q188" s="330">
        <v>0.0197</v>
      </c>
      <c r="R188" s="332">
        <v>0.5</v>
      </c>
      <c r="V188" t="str">
        <f t="shared" si="2"/>
        <v>Degrees/Seconds  &lt;&lt;&lt;&gt;&gt;&gt; Revolutions/Minutes </v>
      </c>
      <c r="W188" t="s">
        <v>334</v>
      </c>
      <c r="X188" t="s">
        <v>335</v>
      </c>
      <c r="Y188">
        <v>0.1667</v>
      </c>
    </row>
    <row r="189" spans="2:25" ht="15">
      <c r="B189" s="339">
        <v>0.199</v>
      </c>
      <c r="C189" s="340">
        <v>8</v>
      </c>
      <c r="F189" s="330">
        <v>0.166</v>
      </c>
      <c r="G189" s="331">
        <v>19</v>
      </c>
      <c r="I189" s="330">
        <v>0.3125</v>
      </c>
      <c r="J189" s="331" t="s">
        <v>212</v>
      </c>
      <c r="O189" s="330">
        <v>0.9843</v>
      </c>
      <c r="P189" s="332">
        <v>25</v>
      </c>
      <c r="Q189" s="330">
        <v>0.0189</v>
      </c>
      <c r="R189" s="332">
        <v>0.48</v>
      </c>
      <c r="V189" t="str">
        <f t="shared" si="2"/>
        <v>Degrees/Seconds  &lt;&lt;&lt;&gt;&gt;&gt; Revolutions/Seconds </v>
      </c>
      <c r="W189" t="s">
        <v>334</v>
      </c>
      <c r="X189" t="s">
        <v>336</v>
      </c>
      <c r="Y189">
        <v>0.002778</v>
      </c>
    </row>
    <row r="190" spans="2:25" ht="15">
      <c r="B190" s="339">
        <v>0.2008</v>
      </c>
      <c r="D190" s="1">
        <v>5.1</v>
      </c>
      <c r="F190" s="330">
        <v>0.1695</v>
      </c>
      <c r="G190" s="331">
        <v>18</v>
      </c>
      <c r="I190" s="330">
        <v>0.302</v>
      </c>
      <c r="J190" s="331" t="s">
        <v>206</v>
      </c>
      <c r="O190" s="330">
        <v>1.0039</v>
      </c>
      <c r="P190" s="332">
        <v>25.5</v>
      </c>
      <c r="Q190" s="330">
        <v>0.0181</v>
      </c>
      <c r="R190" s="332">
        <v>0.46</v>
      </c>
      <c r="V190" t="str">
        <f t="shared" si="2"/>
        <v>Dekagrams  &lt;&lt;&lt;&gt;&gt;&gt; Grams </v>
      </c>
      <c r="W190" t="s">
        <v>337</v>
      </c>
      <c r="X190" t="s">
        <v>254</v>
      </c>
      <c r="Y190">
        <v>10</v>
      </c>
    </row>
    <row r="191" spans="2:25" ht="15">
      <c r="B191" s="339">
        <v>0.201</v>
      </c>
      <c r="C191" s="340">
        <v>7</v>
      </c>
      <c r="F191" s="330">
        <v>0.1719</v>
      </c>
      <c r="G191" s="331" t="s">
        <v>197</v>
      </c>
      <c r="I191" s="330">
        <v>0.2969</v>
      </c>
      <c r="J191" s="331" t="s">
        <v>202</v>
      </c>
      <c r="O191" s="330">
        <v>1.0236</v>
      </c>
      <c r="P191" s="332">
        <v>26</v>
      </c>
      <c r="Q191" s="330">
        <v>0.0177</v>
      </c>
      <c r="R191" s="332">
        <v>0.45</v>
      </c>
      <c r="V191" t="str">
        <f t="shared" si="2"/>
        <v>Dekaliters  &lt;&lt;&lt;&gt;&gt;&gt; Liters </v>
      </c>
      <c r="W191" t="s">
        <v>338</v>
      </c>
      <c r="X191" t="s">
        <v>239</v>
      </c>
      <c r="Y191">
        <v>10</v>
      </c>
    </row>
    <row r="192" spans="1:25" ht="15">
      <c r="A192" s="183" t="s">
        <v>922</v>
      </c>
      <c r="B192" s="339">
        <v>0.2031</v>
      </c>
      <c r="F192" s="330">
        <v>0.17300000000000001</v>
      </c>
      <c r="G192" s="331">
        <v>17</v>
      </c>
      <c r="I192" s="330">
        <v>0.295</v>
      </c>
      <c r="J192" s="331" t="s">
        <v>198</v>
      </c>
      <c r="O192" s="330">
        <v>1.0433</v>
      </c>
      <c r="P192" s="332">
        <v>26.5</v>
      </c>
      <c r="Q192" s="330">
        <v>0.0173</v>
      </c>
      <c r="R192" s="332">
        <v>0.44</v>
      </c>
      <c r="V192" t="str">
        <f t="shared" si="2"/>
        <v>Dekameters &lt;&lt;&lt;&gt;&gt;&gt; Meters</v>
      </c>
      <c r="W192" t="s">
        <v>339</v>
      </c>
      <c r="X192" t="s">
        <v>64</v>
      </c>
      <c r="Y192">
        <v>10</v>
      </c>
    </row>
    <row r="193" spans="2:25" ht="15">
      <c r="B193" s="339">
        <v>0.20400000000000001</v>
      </c>
      <c r="C193" s="340">
        <v>6</v>
      </c>
      <c r="F193" s="330">
        <v>0.177</v>
      </c>
      <c r="G193" s="331">
        <v>16</v>
      </c>
      <c r="I193" s="330">
        <v>0.29</v>
      </c>
      <c r="J193" s="331" t="s">
        <v>194</v>
      </c>
      <c r="O193" s="330">
        <v>1.063</v>
      </c>
      <c r="P193" s="332">
        <v>27</v>
      </c>
      <c r="Q193" s="330">
        <v>0.0165</v>
      </c>
      <c r="R193" s="332">
        <v>0.42</v>
      </c>
      <c r="V193" t="str">
        <f t="shared" si="2"/>
        <v>Drams  &lt;&lt;&lt;&gt;&gt;&gt; Grains </v>
      </c>
      <c r="W193" t="s">
        <v>340</v>
      </c>
      <c r="X193" t="s">
        <v>341</v>
      </c>
      <c r="Y193">
        <v>27.3437</v>
      </c>
    </row>
    <row r="194" spans="2:25" ht="15">
      <c r="B194" s="339">
        <v>0.2047</v>
      </c>
      <c r="D194" s="1">
        <v>5.2</v>
      </c>
      <c r="F194" s="330">
        <v>0.18</v>
      </c>
      <c r="G194" s="331">
        <v>15</v>
      </c>
      <c r="I194" s="330">
        <v>0.2812</v>
      </c>
      <c r="J194" s="331" t="s">
        <v>188</v>
      </c>
      <c r="O194" s="330">
        <v>1.0827</v>
      </c>
      <c r="P194" s="332">
        <v>27.5</v>
      </c>
      <c r="Q194" s="330">
        <v>0.0157</v>
      </c>
      <c r="R194" s="332">
        <v>0.4</v>
      </c>
      <c r="V194" t="str">
        <f t="shared" si="2"/>
        <v>Drams  &lt;&lt;&lt;&gt;&gt;&gt; Grams </v>
      </c>
      <c r="W194" t="s">
        <v>340</v>
      </c>
      <c r="X194" t="s">
        <v>254</v>
      </c>
      <c r="Y194">
        <v>1.7718</v>
      </c>
    </row>
    <row r="195" spans="2:25" ht="15">
      <c r="B195" s="339">
        <v>0.20550000000000002</v>
      </c>
      <c r="C195" s="340">
        <v>5</v>
      </c>
      <c r="F195" s="330">
        <v>0.182</v>
      </c>
      <c r="G195" s="331">
        <v>14</v>
      </c>
      <c r="I195" s="330">
        <v>0.281</v>
      </c>
      <c r="J195" s="331" t="s">
        <v>186</v>
      </c>
      <c r="O195" s="330">
        <v>1.1024</v>
      </c>
      <c r="P195" s="332">
        <v>28</v>
      </c>
      <c r="Q195" s="330">
        <v>0.015</v>
      </c>
      <c r="R195" s="332">
        <v>0.38</v>
      </c>
      <c r="V195" t="str">
        <f aca="true" t="shared" si="3" ref="V195:V258">IF(W195="","",W195&amp;" &lt;&lt;&lt;&gt;&gt;&gt; "&amp;X195)</f>
        <v>Drams  &lt;&lt;&lt;&gt;&gt;&gt; Ounces </v>
      </c>
      <c r="W195" t="s">
        <v>340</v>
      </c>
      <c r="X195" t="s">
        <v>342</v>
      </c>
      <c r="Y195">
        <v>0.0625</v>
      </c>
    </row>
    <row r="196" spans="2:25" ht="15">
      <c r="B196" s="339">
        <v>0.2067</v>
      </c>
      <c r="D196" s="1">
        <v>5.25</v>
      </c>
      <c r="F196" s="330">
        <v>0.185</v>
      </c>
      <c r="G196" s="331">
        <v>13</v>
      </c>
      <c r="I196" s="330">
        <v>0.277</v>
      </c>
      <c r="J196" s="331" t="s">
        <v>183</v>
      </c>
      <c r="O196" s="330">
        <v>1.122</v>
      </c>
      <c r="P196" s="332">
        <v>28.5</v>
      </c>
      <c r="Q196" s="330">
        <v>0.0142</v>
      </c>
      <c r="R196" s="332">
        <v>0.36</v>
      </c>
      <c r="V196" t="str">
        <f t="shared" si="3"/>
        <v>Drams(apoth. or troy)  &lt;&lt;&lt;&gt;&gt;&gt; Ounces (troy) </v>
      </c>
      <c r="W196" t="s">
        <v>343</v>
      </c>
      <c r="X196" t="s">
        <v>344</v>
      </c>
      <c r="Y196">
        <v>0.125</v>
      </c>
    </row>
    <row r="197" spans="2:25" ht="15">
      <c r="B197" s="339">
        <v>0.2087</v>
      </c>
      <c r="D197" s="1">
        <v>5.3</v>
      </c>
      <c r="F197" s="330">
        <v>0.1875</v>
      </c>
      <c r="G197" s="331" t="s">
        <v>214</v>
      </c>
      <c r="I197" s="330">
        <v>0.272</v>
      </c>
      <c r="J197" s="331" t="s">
        <v>180</v>
      </c>
      <c r="O197" s="330">
        <v>1.1417</v>
      </c>
      <c r="P197" s="332">
        <v>29</v>
      </c>
      <c r="Q197" s="330">
        <v>0.0138</v>
      </c>
      <c r="R197" s="332">
        <v>0.35</v>
      </c>
      <c r="V197" t="str">
        <f t="shared" si="3"/>
        <v>Drams(apoth. or troy)  &lt;&lt;&lt;&gt;&gt;&gt; ounces(avoirdupois) </v>
      </c>
      <c r="W197" t="s">
        <v>343</v>
      </c>
      <c r="X197" t="s">
        <v>345</v>
      </c>
      <c r="Y197">
        <v>0.1371429</v>
      </c>
    </row>
    <row r="198" spans="2:25" ht="15">
      <c r="B198" s="339">
        <v>0.209</v>
      </c>
      <c r="C198" s="340">
        <v>4</v>
      </c>
      <c r="F198" s="330">
        <v>0.189</v>
      </c>
      <c r="G198" s="331">
        <v>12</v>
      </c>
      <c r="I198" s="330">
        <v>0.266</v>
      </c>
      <c r="J198" s="331" t="s">
        <v>174</v>
      </c>
      <c r="O198" s="330">
        <v>1.1614</v>
      </c>
      <c r="P198" s="332">
        <v>29.5</v>
      </c>
      <c r="Q198" s="330">
        <v>0.0134</v>
      </c>
      <c r="R198" s="332">
        <v>0.34</v>
      </c>
      <c r="V198" t="str">
        <f t="shared" si="3"/>
        <v>Drops  &lt;&lt;&lt;&gt;&gt;&gt; Teaspoons </v>
      </c>
      <c r="W198" t="s">
        <v>346</v>
      </c>
      <c r="X198" t="s">
        <v>347</v>
      </c>
      <c r="Y198">
        <v>0.01666</v>
      </c>
    </row>
    <row r="199" spans="2:25" ht="15">
      <c r="B199" s="339">
        <v>0.2126</v>
      </c>
      <c r="D199" s="1">
        <v>5.4</v>
      </c>
      <c r="F199" s="330">
        <v>0.191</v>
      </c>
      <c r="G199" s="331">
        <v>11</v>
      </c>
      <c r="I199" s="330">
        <v>0.2656</v>
      </c>
      <c r="J199" s="331" t="s">
        <v>170</v>
      </c>
      <c r="O199" s="330">
        <v>1.1811</v>
      </c>
      <c r="P199" s="332">
        <v>30</v>
      </c>
      <c r="Q199" s="330">
        <v>0.0126</v>
      </c>
      <c r="R199" s="332">
        <v>0.32</v>
      </c>
      <c r="V199" t="str">
        <f t="shared" si="3"/>
        <v>Dyne/Centimeter &lt;&lt;&lt;&gt;&gt;&gt; Erg/sq. millimeter</v>
      </c>
      <c r="W199" t="s">
        <v>348</v>
      </c>
      <c r="X199" t="s">
        <v>349</v>
      </c>
      <c r="Y199">
        <v>0.01</v>
      </c>
    </row>
    <row r="200" spans="2:25" ht="15">
      <c r="B200" s="339">
        <v>0.213</v>
      </c>
      <c r="C200" s="340">
        <v>3</v>
      </c>
      <c r="F200" s="330">
        <v>0.1935</v>
      </c>
      <c r="G200" s="331">
        <v>10</v>
      </c>
      <c r="I200" s="330">
        <v>0.261</v>
      </c>
      <c r="J200" s="331" t="s">
        <v>167</v>
      </c>
      <c r="O200" s="330">
        <v>1.2008</v>
      </c>
      <c r="P200" s="332">
        <v>30.5</v>
      </c>
      <c r="Q200" s="330">
        <v>0.0118</v>
      </c>
      <c r="R200" s="332">
        <v>0.3</v>
      </c>
      <c r="V200" t="str">
        <f t="shared" si="3"/>
        <v>Dyne/sq. Centimeter &lt;&lt;&lt;&gt;&gt;&gt; Atmospheres</v>
      </c>
      <c r="W200" t="s">
        <v>350</v>
      </c>
      <c r="X200" t="s">
        <v>351</v>
      </c>
      <c r="Y200">
        <v>9.87E-07</v>
      </c>
    </row>
    <row r="201" spans="2:25" ht="15">
      <c r="B201" s="339">
        <v>0.2165</v>
      </c>
      <c r="D201" s="1">
        <v>5.5</v>
      </c>
      <c r="F201" s="330">
        <v>0.196</v>
      </c>
      <c r="G201" s="331">
        <v>9</v>
      </c>
      <c r="I201" s="330">
        <v>0.257</v>
      </c>
      <c r="J201" s="331" t="s">
        <v>164</v>
      </c>
      <c r="O201" s="330">
        <v>1.2205</v>
      </c>
      <c r="P201" s="332">
        <v>31</v>
      </c>
      <c r="Q201" s="330">
        <v>0.0114</v>
      </c>
      <c r="R201" s="332">
        <v>0.29</v>
      </c>
      <c r="V201" t="str">
        <f t="shared" si="3"/>
        <v>Dyne/sq. Centimeter &lt;&lt;&lt;&gt;&gt;&gt; Inch of mercury at 0øC</v>
      </c>
      <c r="W201" t="s">
        <v>350</v>
      </c>
      <c r="X201" t="s">
        <v>352</v>
      </c>
      <c r="Y201">
        <v>2.95E-05</v>
      </c>
    </row>
    <row r="202" spans="1:25" ht="15">
      <c r="A202" s="183" t="s">
        <v>938</v>
      </c>
      <c r="B202" s="339">
        <v>0.2188</v>
      </c>
      <c r="F202" s="330">
        <v>0.199</v>
      </c>
      <c r="G202" s="331">
        <v>8</v>
      </c>
      <c r="I202" s="330">
        <v>0.25</v>
      </c>
      <c r="J202" s="331" t="s">
        <v>355</v>
      </c>
      <c r="O202" s="330">
        <v>1.2402</v>
      </c>
      <c r="P202" s="332">
        <v>31.5</v>
      </c>
      <c r="Q202" s="330">
        <v>0.011</v>
      </c>
      <c r="R202" s="332">
        <v>0.28</v>
      </c>
      <c r="V202" t="str">
        <f t="shared" si="3"/>
        <v>Dyne/sq. Centimeter &lt;&lt;&lt;&gt;&gt;&gt; Inch of water at 4øC</v>
      </c>
      <c r="W202" t="s">
        <v>350</v>
      </c>
      <c r="X202" t="s">
        <v>353</v>
      </c>
      <c r="Y202">
        <v>0.0004015</v>
      </c>
    </row>
    <row r="203" spans="2:25" ht="15">
      <c r="B203" s="339">
        <v>0.2205</v>
      </c>
      <c r="D203" s="1">
        <v>5.6</v>
      </c>
      <c r="F203" s="330">
        <v>0.201</v>
      </c>
      <c r="G203" s="331">
        <v>7</v>
      </c>
      <c r="I203" s="330">
        <v>0.246</v>
      </c>
      <c r="J203" s="331" t="s">
        <v>154</v>
      </c>
      <c r="O203" s="330">
        <v>1.2598</v>
      </c>
      <c r="P203" s="332">
        <v>32</v>
      </c>
      <c r="Q203" s="330">
        <v>0.0106</v>
      </c>
      <c r="R203" s="332">
        <v>0.27</v>
      </c>
      <c r="V203" t="str">
        <f t="shared" si="3"/>
        <v>Dyne/sq. cm  &lt;&lt;&lt;&gt;&gt;&gt; Atmospheres </v>
      </c>
      <c r="W203" t="s">
        <v>354</v>
      </c>
      <c r="X203" t="s">
        <v>1107</v>
      </c>
      <c r="Y203">
        <v>9.87E-07</v>
      </c>
    </row>
    <row r="204" spans="2:25" ht="15">
      <c r="B204" s="339">
        <v>0.221</v>
      </c>
      <c r="C204" s="340">
        <v>2</v>
      </c>
      <c r="F204" s="330">
        <v>0.2031</v>
      </c>
      <c r="G204" s="331" t="s">
        <v>922</v>
      </c>
      <c r="I204" s="330">
        <v>0.242</v>
      </c>
      <c r="J204" s="331" t="s">
        <v>152</v>
      </c>
      <c r="O204" s="330">
        <v>1.2795</v>
      </c>
      <c r="P204" s="332">
        <v>32.5</v>
      </c>
      <c r="Q204" s="330">
        <v>0.0102</v>
      </c>
      <c r="R204" s="332">
        <v>0.26</v>
      </c>
      <c r="V204" t="str">
        <f t="shared" si="3"/>
        <v>Dyne/sq. cm  &lt;&lt;&lt;&gt;&gt;&gt; Inch of Mercury at 0øC </v>
      </c>
      <c r="W204" t="s">
        <v>354</v>
      </c>
      <c r="X204" t="s">
        <v>356</v>
      </c>
      <c r="Y204">
        <v>2.95E-05</v>
      </c>
    </row>
    <row r="205" spans="2:25" ht="15">
      <c r="B205" s="339">
        <v>0.2244</v>
      </c>
      <c r="D205" s="1">
        <v>5.7</v>
      </c>
      <c r="F205" s="330">
        <v>0.20400000000000001</v>
      </c>
      <c r="G205" s="331">
        <v>6</v>
      </c>
      <c r="I205" s="330">
        <v>0.23800000000000002</v>
      </c>
      <c r="J205" s="331" t="s">
        <v>150</v>
      </c>
      <c r="O205" s="330">
        <v>1.2992</v>
      </c>
      <c r="P205" s="332">
        <v>33</v>
      </c>
      <c r="Q205" s="330">
        <v>0.0098</v>
      </c>
      <c r="R205" s="332">
        <v>0.25</v>
      </c>
      <c r="V205" t="str">
        <f t="shared" si="3"/>
        <v>Dyne/sq. cm  &lt;&lt;&lt;&gt;&gt;&gt; Inch of water at 4øC </v>
      </c>
      <c r="W205" t="s">
        <v>354</v>
      </c>
      <c r="X205" t="s">
        <v>357</v>
      </c>
      <c r="Y205">
        <v>0.0004015</v>
      </c>
    </row>
    <row r="206" spans="2:25" ht="15">
      <c r="B206" s="339">
        <v>0.2264</v>
      </c>
      <c r="D206" s="1">
        <v>5.75</v>
      </c>
      <c r="F206" s="330">
        <v>0.20550000000000002</v>
      </c>
      <c r="G206" s="331">
        <v>5</v>
      </c>
      <c r="I206" s="330">
        <v>0.2344</v>
      </c>
      <c r="J206" s="331" t="s">
        <v>144</v>
      </c>
      <c r="O206" s="330">
        <v>1.3189</v>
      </c>
      <c r="P206" s="332">
        <v>33.5</v>
      </c>
      <c r="Q206" s="330">
        <v>0.0094</v>
      </c>
      <c r="R206" s="332">
        <v>0.24</v>
      </c>
      <c r="V206" t="str">
        <f t="shared" si="3"/>
        <v>Dynes &lt;&lt;&lt;&gt;&gt;&gt; Grams</v>
      </c>
      <c r="W206" t="s">
        <v>358</v>
      </c>
      <c r="X206" t="s">
        <v>78</v>
      </c>
      <c r="Y206">
        <v>0.00102</v>
      </c>
    </row>
    <row r="207" spans="2:25" ht="15">
      <c r="B207" s="339">
        <v>0.228</v>
      </c>
      <c r="C207" s="340">
        <v>1</v>
      </c>
      <c r="F207" s="330">
        <v>0.209</v>
      </c>
      <c r="G207" s="331">
        <v>4</v>
      </c>
      <c r="I207" s="330">
        <v>0.234</v>
      </c>
      <c r="J207" s="331" t="s">
        <v>952</v>
      </c>
      <c r="O207" s="330">
        <v>1.3386</v>
      </c>
      <c r="P207" s="332">
        <v>34</v>
      </c>
      <c r="Q207" s="330">
        <v>0.0091</v>
      </c>
      <c r="R207" s="332">
        <v>0.23</v>
      </c>
      <c r="V207" t="str">
        <f t="shared" si="3"/>
        <v>Dynes &lt;&lt;&lt;&gt;&gt;&gt; Joules/Centimeter</v>
      </c>
      <c r="W207" t="s">
        <v>358</v>
      </c>
      <c r="X207" t="s">
        <v>359</v>
      </c>
      <c r="Y207">
        <v>1E-07</v>
      </c>
    </row>
    <row r="208" spans="2:25" ht="15">
      <c r="B208" s="339">
        <v>0.2283</v>
      </c>
      <c r="D208" s="1">
        <v>5.8</v>
      </c>
      <c r="F208" s="330">
        <v>0.213</v>
      </c>
      <c r="G208" s="331">
        <v>3</v>
      </c>
      <c r="I208" s="330">
        <v>0.228</v>
      </c>
      <c r="J208" s="331">
        <v>1</v>
      </c>
      <c r="O208" s="330">
        <v>1.3583</v>
      </c>
      <c r="P208" s="332">
        <v>34.5</v>
      </c>
      <c r="Q208" s="330">
        <v>0.0087</v>
      </c>
      <c r="R208" s="336">
        <v>0.22</v>
      </c>
      <c r="V208" t="str">
        <f t="shared" si="3"/>
        <v>Dynes &lt;&lt;&lt;&gt;&gt;&gt; Joules/Meter (Newtons)</v>
      </c>
      <c r="W208" t="s">
        <v>358</v>
      </c>
      <c r="X208" t="s">
        <v>360</v>
      </c>
      <c r="Y208">
        <v>1E-05</v>
      </c>
    </row>
    <row r="209" spans="2:25" ht="15">
      <c r="B209" s="339">
        <v>0.2323</v>
      </c>
      <c r="D209" s="1">
        <v>5.9</v>
      </c>
      <c r="F209" s="330">
        <v>0.2188</v>
      </c>
      <c r="G209" s="331" t="s">
        <v>938</v>
      </c>
      <c r="I209" s="330">
        <v>0.221</v>
      </c>
      <c r="J209" s="331">
        <v>2</v>
      </c>
      <c r="O209" s="330">
        <v>1.378</v>
      </c>
      <c r="P209" s="332">
        <v>35</v>
      </c>
      <c r="Q209" s="330">
        <v>0.0083</v>
      </c>
      <c r="R209" s="332">
        <v>0.21</v>
      </c>
      <c r="V209" t="str">
        <f t="shared" si="3"/>
        <v>Dynes &lt;&lt;&lt;&gt;&gt;&gt; Kilograms</v>
      </c>
      <c r="W209" t="s">
        <v>358</v>
      </c>
      <c r="X209" t="s">
        <v>82</v>
      </c>
      <c r="Y209">
        <v>1.02E-06</v>
      </c>
    </row>
    <row r="210" spans="2:25" ht="15">
      <c r="B210" s="339">
        <v>0.234</v>
      </c>
      <c r="C210" s="340" t="s">
        <v>952</v>
      </c>
      <c r="F210" s="330">
        <v>0.221</v>
      </c>
      <c r="G210" s="331">
        <v>2</v>
      </c>
      <c r="I210" s="330">
        <v>0.2188</v>
      </c>
      <c r="J210" s="331" t="s">
        <v>938</v>
      </c>
      <c r="O210" s="330">
        <v>1.3976</v>
      </c>
      <c r="P210" s="332">
        <v>35.5</v>
      </c>
      <c r="Q210" s="330">
        <v>0.0079</v>
      </c>
      <c r="R210" s="332">
        <v>0.2</v>
      </c>
      <c r="V210" t="str">
        <f t="shared" si="3"/>
        <v>Dynes &lt;&lt;&lt;&gt;&gt;&gt; Newtons (N)</v>
      </c>
      <c r="W210" t="s">
        <v>358</v>
      </c>
      <c r="X210" t="s">
        <v>361</v>
      </c>
      <c r="Y210">
        <v>1E-05</v>
      </c>
    </row>
    <row r="211" spans="1:25" ht="15">
      <c r="A211" s="183" t="s">
        <v>144</v>
      </c>
      <c r="B211" s="339">
        <v>0.2344</v>
      </c>
      <c r="F211" s="330">
        <v>0.228</v>
      </c>
      <c r="G211" s="331">
        <v>1</v>
      </c>
      <c r="I211" s="330">
        <v>0.213</v>
      </c>
      <c r="J211" s="331">
        <v>3</v>
      </c>
      <c r="O211" s="330">
        <v>1.4173</v>
      </c>
      <c r="P211" s="332">
        <v>36</v>
      </c>
      <c r="Q211" s="330">
        <v>0.0075</v>
      </c>
      <c r="R211" s="332">
        <v>0.19</v>
      </c>
      <c r="V211" t="str">
        <f t="shared" si="3"/>
        <v>Dynes &lt;&lt;&lt;&gt;&gt;&gt; Poundals</v>
      </c>
      <c r="W211" t="s">
        <v>358</v>
      </c>
      <c r="X211" t="s">
        <v>362</v>
      </c>
      <c r="Y211">
        <v>7.23E-05</v>
      </c>
    </row>
    <row r="212" spans="2:25" ht="15">
      <c r="B212" s="339">
        <v>0.2362</v>
      </c>
      <c r="D212" s="1">
        <v>6</v>
      </c>
      <c r="F212" s="330">
        <v>0.234</v>
      </c>
      <c r="G212" s="331" t="s">
        <v>952</v>
      </c>
      <c r="I212" s="330">
        <v>0.209</v>
      </c>
      <c r="J212" s="331">
        <v>4</v>
      </c>
      <c r="O212" s="330">
        <v>1.437</v>
      </c>
      <c r="P212" s="332">
        <v>36.5</v>
      </c>
      <c r="Q212" s="330">
        <v>0.0071</v>
      </c>
      <c r="R212" s="332">
        <v>0.18</v>
      </c>
      <c r="V212" t="str">
        <f t="shared" si="3"/>
        <v>Dynes &lt;&lt;&lt;&gt;&gt;&gt; Pounds</v>
      </c>
      <c r="W212" t="s">
        <v>358</v>
      </c>
      <c r="X212" t="s">
        <v>80</v>
      </c>
      <c r="Y212">
        <v>2.25E-06</v>
      </c>
    </row>
    <row r="213" spans="2:25" ht="15">
      <c r="B213" s="339">
        <v>0.23800000000000002</v>
      </c>
      <c r="C213" s="340" t="s">
        <v>150</v>
      </c>
      <c r="F213" s="330">
        <v>0.2344</v>
      </c>
      <c r="G213" s="331" t="s">
        <v>144</v>
      </c>
      <c r="I213" s="330">
        <v>0.20550000000000002</v>
      </c>
      <c r="J213" s="331">
        <v>5</v>
      </c>
      <c r="O213" s="330">
        <v>1.4567</v>
      </c>
      <c r="P213" s="332">
        <v>37</v>
      </c>
      <c r="Q213" s="330">
        <v>0.0067</v>
      </c>
      <c r="R213" s="332">
        <v>0.17</v>
      </c>
      <c r="V213" t="str">
        <f t="shared" si="3"/>
        <v>Dynes  &lt;&lt;&lt;&gt;&gt;&gt; Grams </v>
      </c>
      <c r="W213" t="s">
        <v>363</v>
      </c>
      <c r="X213" t="s">
        <v>254</v>
      </c>
      <c r="Y213">
        <v>0.00102</v>
      </c>
    </row>
    <row r="214" spans="2:25" ht="15">
      <c r="B214" s="339">
        <v>0.2402</v>
      </c>
      <c r="D214" s="1">
        <v>6.1</v>
      </c>
      <c r="F214" s="330">
        <v>0.23800000000000002</v>
      </c>
      <c r="G214" s="331" t="s">
        <v>150</v>
      </c>
      <c r="I214" s="330">
        <v>0.20400000000000001</v>
      </c>
      <c r="J214" s="331">
        <v>6</v>
      </c>
      <c r="O214" s="330">
        <v>1.4764</v>
      </c>
      <c r="P214" s="332">
        <v>37.5</v>
      </c>
      <c r="Q214" s="330">
        <v>0.0063</v>
      </c>
      <c r="R214" s="332">
        <v>0.16</v>
      </c>
      <c r="V214" t="str">
        <f t="shared" si="3"/>
        <v>Dynes  &lt;&lt;&lt;&gt;&gt;&gt; Kilograms </v>
      </c>
      <c r="W214" t="s">
        <v>363</v>
      </c>
      <c r="X214" t="s">
        <v>364</v>
      </c>
      <c r="Y214">
        <v>1.02E-06</v>
      </c>
    </row>
    <row r="215" spans="2:25" ht="15">
      <c r="B215" s="339">
        <v>0.242</v>
      </c>
      <c r="C215" s="340" t="s">
        <v>152</v>
      </c>
      <c r="F215" s="330">
        <v>0.242</v>
      </c>
      <c r="G215" s="331" t="s">
        <v>152</v>
      </c>
      <c r="I215" s="330">
        <v>0.2031</v>
      </c>
      <c r="J215" s="331" t="s">
        <v>922</v>
      </c>
      <c r="O215" s="330">
        <v>1.4961</v>
      </c>
      <c r="P215" s="332">
        <v>38</v>
      </c>
      <c r="Q215" s="330">
        <v>0.0059</v>
      </c>
      <c r="R215" s="332">
        <v>0.15</v>
      </c>
      <c r="V215" t="str">
        <f t="shared" si="3"/>
        <v>Dynes  &lt;&lt;&lt;&gt;&gt;&gt; Poundals </v>
      </c>
      <c r="W215" t="s">
        <v>363</v>
      </c>
      <c r="X215" t="s">
        <v>365</v>
      </c>
      <c r="Y215">
        <v>7.23E-05</v>
      </c>
    </row>
    <row r="216" spans="2:25" ht="15">
      <c r="B216" s="339">
        <v>0.2441</v>
      </c>
      <c r="D216" s="1">
        <v>6.2</v>
      </c>
      <c r="F216" s="330">
        <v>0.246</v>
      </c>
      <c r="G216" s="331" t="s">
        <v>154</v>
      </c>
      <c r="I216" s="330">
        <v>0.201</v>
      </c>
      <c r="J216" s="331">
        <v>7</v>
      </c>
      <c r="V216" t="str">
        <f t="shared" si="3"/>
        <v>Dynes  &lt;&lt;&lt;&gt;&gt;&gt; Pounds </v>
      </c>
      <c r="W216" t="s">
        <v>363</v>
      </c>
      <c r="X216" t="s">
        <v>366</v>
      </c>
      <c r="Y216">
        <v>2.25E-06</v>
      </c>
    </row>
    <row r="217" spans="2:25" ht="15">
      <c r="B217" s="339">
        <v>0.246</v>
      </c>
      <c r="C217" s="340" t="s">
        <v>154</v>
      </c>
      <c r="F217" s="330">
        <v>0.25</v>
      </c>
      <c r="G217" s="331" t="s">
        <v>355</v>
      </c>
      <c r="I217" s="330">
        <v>0.199</v>
      </c>
      <c r="J217" s="331">
        <v>8</v>
      </c>
      <c r="V217" t="str">
        <f t="shared" si="3"/>
        <v>Dynes/sq. Centimeter &lt;&lt;&lt;&gt;&gt;&gt; Bars</v>
      </c>
      <c r="W217" t="s">
        <v>367</v>
      </c>
      <c r="X217" t="s">
        <v>1126</v>
      </c>
      <c r="Y217">
        <v>1E-06</v>
      </c>
    </row>
    <row r="218" spans="2:25" ht="15">
      <c r="B218" s="339">
        <v>0.2461</v>
      </c>
      <c r="D218" s="1">
        <v>6.25</v>
      </c>
      <c r="F218" s="330">
        <v>0.257</v>
      </c>
      <c r="G218" s="331" t="s">
        <v>164</v>
      </c>
      <c r="I218" s="330">
        <v>0.196</v>
      </c>
      <c r="J218" s="331">
        <v>9</v>
      </c>
      <c r="V218" t="str">
        <f t="shared" si="3"/>
        <v>Ell &lt;&lt;&lt;&gt;&gt;&gt; Centimeters</v>
      </c>
      <c r="W218" t="s">
        <v>368</v>
      </c>
      <c r="X218" t="s">
        <v>60</v>
      </c>
      <c r="Y218">
        <v>114.3</v>
      </c>
    </row>
    <row r="219" spans="2:25" ht="15">
      <c r="B219" s="339">
        <v>0.248</v>
      </c>
      <c r="D219" s="1">
        <v>6.3</v>
      </c>
      <c r="F219" s="330">
        <v>0.261</v>
      </c>
      <c r="G219" s="331" t="s">
        <v>167</v>
      </c>
      <c r="I219" s="330">
        <v>0.1935</v>
      </c>
      <c r="J219" s="331">
        <v>10</v>
      </c>
      <c r="V219" t="str">
        <f t="shared" si="3"/>
        <v>Ell &lt;&lt;&lt;&gt;&gt;&gt; Inches</v>
      </c>
      <c r="W219" t="s">
        <v>368</v>
      </c>
      <c r="X219" t="s">
        <v>56</v>
      </c>
      <c r="Y219">
        <v>45</v>
      </c>
    </row>
    <row r="220" spans="1:25" ht="15">
      <c r="A220" s="183" t="s">
        <v>159</v>
      </c>
      <c r="B220" s="339">
        <v>0.25</v>
      </c>
      <c r="C220" s="340" t="s">
        <v>160</v>
      </c>
      <c r="F220" s="330">
        <v>0.2656</v>
      </c>
      <c r="G220" s="331" t="s">
        <v>170</v>
      </c>
      <c r="I220" s="330">
        <v>0.191</v>
      </c>
      <c r="J220" s="331">
        <v>11</v>
      </c>
      <c r="V220" t="str">
        <f t="shared" si="3"/>
        <v>Em (pica)  &lt;&lt;&lt;&gt;&gt;&gt; Centimeters</v>
      </c>
      <c r="W220" t="s">
        <v>369</v>
      </c>
      <c r="X220" t="s">
        <v>60</v>
      </c>
      <c r="Y220">
        <v>0.4233</v>
      </c>
    </row>
    <row r="221" spans="2:25" ht="15">
      <c r="B221" s="339">
        <v>0.252</v>
      </c>
      <c r="D221" s="1">
        <v>6.4</v>
      </c>
      <c r="F221" s="330">
        <v>0.266</v>
      </c>
      <c r="G221" s="331" t="s">
        <v>174</v>
      </c>
      <c r="I221" s="330">
        <v>0.189</v>
      </c>
      <c r="J221" s="331">
        <v>12</v>
      </c>
      <c r="V221" t="str">
        <f t="shared" si="3"/>
        <v>Em (pica)  &lt;&lt;&lt;&gt;&gt;&gt; Inch</v>
      </c>
      <c r="W221" t="s">
        <v>369</v>
      </c>
      <c r="X221" t="s">
        <v>370</v>
      </c>
      <c r="Y221">
        <v>0.167</v>
      </c>
    </row>
    <row r="222" spans="2:25" ht="15">
      <c r="B222" s="339">
        <v>0.2559</v>
      </c>
      <c r="D222" s="1">
        <v>6.5</v>
      </c>
      <c r="F222" s="330">
        <v>0.272</v>
      </c>
      <c r="G222" s="331" t="s">
        <v>180</v>
      </c>
      <c r="I222" s="330">
        <v>0.1875</v>
      </c>
      <c r="J222" s="331" t="s">
        <v>214</v>
      </c>
      <c r="V222" t="str">
        <f t="shared" si="3"/>
        <v>Ergs  &lt;&lt;&lt;&gt;&gt;&gt; BTU </v>
      </c>
      <c r="W222" t="s">
        <v>1134</v>
      </c>
      <c r="X222" t="s">
        <v>1133</v>
      </c>
      <c r="Y222">
        <v>9.48E-11</v>
      </c>
    </row>
    <row r="223" spans="2:25" ht="15">
      <c r="B223" s="339">
        <v>0.257</v>
      </c>
      <c r="C223" s="340" t="s">
        <v>164</v>
      </c>
      <c r="F223" s="330">
        <v>0.277</v>
      </c>
      <c r="G223" s="331" t="s">
        <v>183</v>
      </c>
      <c r="I223" s="330">
        <v>0.185</v>
      </c>
      <c r="J223" s="331">
        <v>13</v>
      </c>
      <c r="V223" t="str">
        <f t="shared" si="3"/>
        <v>Ergs  &lt;&lt;&lt;&gt;&gt;&gt; HorsePower-Hours </v>
      </c>
      <c r="W223" t="s">
        <v>1134</v>
      </c>
      <c r="X223" t="s">
        <v>1137</v>
      </c>
      <c r="Y223">
        <v>3.73E-14</v>
      </c>
    </row>
    <row r="224" spans="2:25" ht="15">
      <c r="B224" s="339">
        <v>0.2598</v>
      </c>
      <c r="D224" s="1">
        <v>6.6</v>
      </c>
      <c r="F224" s="330">
        <v>0.281</v>
      </c>
      <c r="G224" s="331" t="s">
        <v>186</v>
      </c>
      <c r="I224" s="330">
        <v>0.182</v>
      </c>
      <c r="J224" s="331">
        <v>14</v>
      </c>
      <c r="V224" t="str">
        <f t="shared" si="3"/>
        <v>Ergs  &lt;&lt;&lt;&gt;&gt;&gt; Joules </v>
      </c>
      <c r="W224" t="s">
        <v>1134</v>
      </c>
      <c r="X224" t="s">
        <v>1138</v>
      </c>
      <c r="Y224">
        <v>1E-07</v>
      </c>
    </row>
    <row r="225" spans="2:25" ht="15">
      <c r="B225" s="339">
        <v>0.261</v>
      </c>
      <c r="C225" s="340" t="s">
        <v>167</v>
      </c>
      <c r="F225" s="330">
        <v>0.2812</v>
      </c>
      <c r="G225" s="331" t="s">
        <v>188</v>
      </c>
      <c r="I225" s="330">
        <v>0.18</v>
      </c>
      <c r="J225" s="331">
        <v>15</v>
      </c>
      <c r="V225" t="str">
        <f t="shared" si="3"/>
        <v>Ergs  &lt;&lt;&lt;&gt;&gt;&gt; Kilowatt-Hours </v>
      </c>
      <c r="W225" t="s">
        <v>1134</v>
      </c>
      <c r="X225" t="s">
        <v>1141</v>
      </c>
      <c r="Y225">
        <v>2.78E-14</v>
      </c>
    </row>
    <row r="226" spans="2:25" ht="15">
      <c r="B226" s="339">
        <v>0.2638</v>
      </c>
      <c r="D226" s="1">
        <v>6.7</v>
      </c>
      <c r="F226" s="330">
        <v>0.29</v>
      </c>
      <c r="G226" s="331" t="s">
        <v>194</v>
      </c>
      <c r="I226" s="330">
        <v>0.177</v>
      </c>
      <c r="J226" s="331">
        <v>16</v>
      </c>
      <c r="V226" t="str">
        <f t="shared" si="3"/>
        <v>Ergs  &lt;&lt;&lt;&gt;&gt;&gt; Watt-Hours </v>
      </c>
      <c r="W226" t="s">
        <v>1134</v>
      </c>
      <c r="X226" t="s">
        <v>371</v>
      </c>
      <c r="Y226">
        <v>2.78E-11</v>
      </c>
    </row>
    <row r="227" spans="1:25" ht="15">
      <c r="A227" s="183" t="s">
        <v>170</v>
      </c>
      <c r="B227" s="339">
        <v>0.2656</v>
      </c>
      <c r="F227" s="330">
        <v>0.295</v>
      </c>
      <c r="G227" s="331" t="s">
        <v>198</v>
      </c>
      <c r="I227" s="330">
        <v>0.17300000000000001</v>
      </c>
      <c r="J227" s="331">
        <v>17</v>
      </c>
      <c r="V227" t="str">
        <f t="shared" si="3"/>
        <v>Ergs/Second  &lt;&lt;&lt;&gt;&gt;&gt; BTU/Minute </v>
      </c>
      <c r="W227" t="s">
        <v>372</v>
      </c>
      <c r="X227" t="s">
        <v>230</v>
      </c>
      <c r="Y227">
        <v>5.69E-06</v>
      </c>
    </row>
    <row r="228" spans="2:25" ht="15">
      <c r="B228" s="339">
        <v>0.2657</v>
      </c>
      <c r="D228" s="1">
        <v>6.75</v>
      </c>
      <c r="F228" s="330">
        <v>0.2969</v>
      </c>
      <c r="G228" s="331" t="s">
        <v>202</v>
      </c>
      <c r="I228" s="330">
        <v>0.1719</v>
      </c>
      <c r="J228" s="331" t="s">
        <v>197</v>
      </c>
      <c r="V228" t="str">
        <f t="shared" si="3"/>
        <v>Ergs/Second  &lt;&lt;&lt;&gt;&gt;&gt; HorsePower </v>
      </c>
      <c r="W228" t="s">
        <v>372</v>
      </c>
      <c r="X228" t="s">
        <v>232</v>
      </c>
      <c r="Y228">
        <v>1.34E-10</v>
      </c>
    </row>
    <row r="229" spans="2:25" ht="15">
      <c r="B229" s="339">
        <v>0.266</v>
      </c>
      <c r="C229" s="340" t="s">
        <v>174</v>
      </c>
      <c r="F229" s="330">
        <v>0.302</v>
      </c>
      <c r="G229" s="331" t="s">
        <v>206</v>
      </c>
      <c r="I229" s="330">
        <v>0.1695</v>
      </c>
      <c r="J229" s="331">
        <v>18</v>
      </c>
      <c r="V229" t="str">
        <f t="shared" si="3"/>
        <v>Ergs/Second  &lt;&lt;&lt;&gt;&gt;&gt; Kilowatts </v>
      </c>
      <c r="W229" t="s">
        <v>372</v>
      </c>
      <c r="X229" t="s">
        <v>233</v>
      </c>
      <c r="Y229">
        <v>1E-10</v>
      </c>
    </row>
    <row r="230" spans="2:25" ht="15">
      <c r="B230" s="339">
        <v>0.2677</v>
      </c>
      <c r="D230" s="1">
        <v>6.8</v>
      </c>
      <c r="F230" s="330">
        <v>0.3125</v>
      </c>
      <c r="G230" s="331" t="s">
        <v>212</v>
      </c>
      <c r="I230" s="330">
        <v>0.166</v>
      </c>
      <c r="J230" s="331">
        <v>19</v>
      </c>
      <c r="V230" t="str">
        <f t="shared" si="3"/>
        <v>Faraday/Second  &lt;&lt;&lt;&gt;&gt;&gt; Ampere (absolute) </v>
      </c>
      <c r="W230" t="s">
        <v>373</v>
      </c>
      <c r="X230" t="s">
        <v>374</v>
      </c>
      <c r="Y230">
        <v>96500</v>
      </c>
    </row>
    <row r="231" spans="2:25" ht="15">
      <c r="B231" s="339">
        <v>0.2717</v>
      </c>
      <c r="D231" s="1">
        <v>6.9</v>
      </c>
      <c r="F231" s="330">
        <v>0.316</v>
      </c>
      <c r="G231" s="331" t="s">
        <v>216</v>
      </c>
      <c r="I231" s="330">
        <v>0.161</v>
      </c>
      <c r="J231" s="331">
        <v>20</v>
      </c>
      <c r="V231" t="str">
        <f t="shared" si="3"/>
        <v>Faradays  &lt;&lt;&lt;&gt;&gt;&gt; Ampere-hours </v>
      </c>
      <c r="W231" t="s">
        <v>1104</v>
      </c>
      <c r="X231" t="s">
        <v>1101</v>
      </c>
      <c r="Y231">
        <v>26.8</v>
      </c>
    </row>
    <row r="232" spans="2:25" ht="15">
      <c r="B232" s="339">
        <v>0.272</v>
      </c>
      <c r="C232" s="340" t="s">
        <v>180</v>
      </c>
      <c r="F232" s="330">
        <v>0.323</v>
      </c>
      <c r="G232" s="331" t="s">
        <v>221</v>
      </c>
      <c r="I232" s="330">
        <v>0.159</v>
      </c>
      <c r="J232" s="331">
        <v>21</v>
      </c>
      <c r="V232" t="str">
        <f t="shared" si="3"/>
        <v>Faradays  &lt;&lt;&lt;&gt;&gt;&gt; Coulombs </v>
      </c>
      <c r="W232" t="s">
        <v>1104</v>
      </c>
      <c r="X232" t="s">
        <v>1102</v>
      </c>
      <c r="Y232">
        <v>96490</v>
      </c>
    </row>
    <row r="233" spans="2:25" ht="15">
      <c r="B233" s="339">
        <v>0.2756</v>
      </c>
      <c r="D233" s="1">
        <v>7</v>
      </c>
      <c r="F233" s="330">
        <v>0.3281</v>
      </c>
      <c r="G233" s="331" t="s">
        <v>226</v>
      </c>
      <c r="I233" s="330">
        <v>0.157</v>
      </c>
      <c r="J233" s="331">
        <v>22</v>
      </c>
      <c r="V233" t="str">
        <f t="shared" si="3"/>
        <v>Fathoms &lt;&lt;&lt;&gt;&gt;&gt; Feet</v>
      </c>
      <c r="W233" t="s">
        <v>375</v>
      </c>
      <c r="X233" t="s">
        <v>62</v>
      </c>
      <c r="Y233">
        <v>6</v>
      </c>
    </row>
    <row r="234" spans="2:25" ht="15">
      <c r="B234" s="339">
        <v>0.277</v>
      </c>
      <c r="C234" s="340" t="s">
        <v>183</v>
      </c>
      <c r="F234" s="330">
        <v>0.332</v>
      </c>
      <c r="G234" s="331" t="s">
        <v>920</v>
      </c>
      <c r="I234" s="330">
        <v>0.1562</v>
      </c>
      <c r="J234" s="331" t="s">
        <v>179</v>
      </c>
      <c r="V234" t="str">
        <f t="shared" si="3"/>
        <v>Fathoms &lt;&lt;&lt;&gt;&gt;&gt; Meter</v>
      </c>
      <c r="W234" t="s">
        <v>375</v>
      </c>
      <c r="X234" t="s">
        <v>376</v>
      </c>
      <c r="Y234">
        <v>1.828804</v>
      </c>
    </row>
    <row r="235" spans="2:25" ht="15">
      <c r="B235" s="339">
        <v>0.2795</v>
      </c>
      <c r="D235" s="1">
        <v>7.1</v>
      </c>
      <c r="F235" s="330">
        <v>0.339</v>
      </c>
      <c r="G235" s="331" t="s">
        <v>926</v>
      </c>
      <c r="I235" s="330">
        <v>0.154</v>
      </c>
      <c r="J235" s="331">
        <v>23</v>
      </c>
      <c r="V235" t="str">
        <f t="shared" si="3"/>
        <v>Feet &lt;&lt;&lt;&gt;&gt;&gt; Centimeters</v>
      </c>
      <c r="W235" t="s">
        <v>62</v>
      </c>
      <c r="X235" t="s">
        <v>60</v>
      </c>
      <c r="Y235">
        <v>30.48</v>
      </c>
    </row>
    <row r="236" spans="2:25" ht="15">
      <c r="B236" s="339">
        <v>0.281</v>
      </c>
      <c r="C236" s="340" t="s">
        <v>186</v>
      </c>
      <c r="F236" s="330">
        <v>0.3438</v>
      </c>
      <c r="G236" s="331" t="s">
        <v>929</v>
      </c>
      <c r="I236" s="330">
        <v>0.152</v>
      </c>
      <c r="J236" s="331">
        <v>24</v>
      </c>
      <c r="V236" t="str">
        <f t="shared" si="3"/>
        <v>Feet &lt;&lt;&lt;&gt;&gt;&gt; Kilometers</v>
      </c>
      <c r="W236" t="s">
        <v>62</v>
      </c>
      <c r="X236" t="s">
        <v>70</v>
      </c>
      <c r="Y236">
        <v>0.0003048</v>
      </c>
    </row>
    <row r="237" spans="1:25" ht="15">
      <c r="A237" s="183" t="s">
        <v>188</v>
      </c>
      <c r="B237" s="339">
        <v>0.2812</v>
      </c>
      <c r="F237" s="330">
        <v>0.34800000000000003</v>
      </c>
      <c r="G237" s="331" t="s">
        <v>933</v>
      </c>
      <c r="I237" s="330">
        <v>0.1495</v>
      </c>
      <c r="J237" s="331">
        <v>25</v>
      </c>
      <c r="V237" t="str">
        <f t="shared" si="3"/>
        <v>Feet &lt;&lt;&lt;&gt;&gt;&gt; Meters</v>
      </c>
      <c r="W237" t="s">
        <v>62</v>
      </c>
      <c r="X237" t="s">
        <v>64</v>
      </c>
      <c r="Y237">
        <v>0.3048</v>
      </c>
    </row>
    <row r="238" spans="2:25" ht="15">
      <c r="B238" s="339">
        <v>0.28350000000000003</v>
      </c>
      <c r="D238" s="1">
        <v>7.2</v>
      </c>
      <c r="F238" s="330">
        <v>0.358</v>
      </c>
      <c r="G238" s="331" t="s">
        <v>939</v>
      </c>
      <c r="I238" s="330">
        <v>0.147</v>
      </c>
      <c r="J238" s="331">
        <v>26</v>
      </c>
      <c r="V238" t="str">
        <f t="shared" si="3"/>
        <v>Feet &lt;&lt;&lt;&gt;&gt;&gt; Miles (naut.) </v>
      </c>
      <c r="W238" t="s">
        <v>62</v>
      </c>
      <c r="X238" t="s">
        <v>377</v>
      </c>
      <c r="Y238">
        <v>0.0001645</v>
      </c>
    </row>
    <row r="239" spans="2:25" ht="15">
      <c r="B239" s="339">
        <v>0.2854</v>
      </c>
      <c r="D239" s="1">
        <v>7.25</v>
      </c>
      <c r="F239" s="330">
        <v>0.3594</v>
      </c>
      <c r="G239" s="331" t="s">
        <v>943</v>
      </c>
      <c r="I239" s="330">
        <v>0.14400000000000002</v>
      </c>
      <c r="J239" s="331">
        <v>27</v>
      </c>
      <c r="V239" t="str">
        <f t="shared" si="3"/>
        <v>Feet &lt;&lt;&lt;&gt;&gt;&gt; Miles (stat.) </v>
      </c>
      <c r="W239" t="s">
        <v>62</v>
      </c>
      <c r="X239" t="s">
        <v>378</v>
      </c>
      <c r="Y239">
        <v>0.0001894</v>
      </c>
    </row>
    <row r="240" spans="2:25" ht="15">
      <c r="B240" s="339">
        <v>0.2874</v>
      </c>
      <c r="D240" s="1">
        <v>7.3</v>
      </c>
      <c r="F240" s="330">
        <v>0.368</v>
      </c>
      <c r="G240" s="331" t="s">
        <v>948</v>
      </c>
      <c r="I240" s="330">
        <v>0.1406</v>
      </c>
      <c r="J240" s="331" t="s">
        <v>162</v>
      </c>
      <c r="V240" t="str">
        <f t="shared" si="3"/>
        <v>Feet &lt;&lt;&lt;&gt;&gt;&gt; Millimeters</v>
      </c>
      <c r="W240" t="s">
        <v>62</v>
      </c>
      <c r="X240" t="s">
        <v>58</v>
      </c>
      <c r="Y240">
        <v>304.8</v>
      </c>
    </row>
    <row r="241" spans="2:25" ht="15">
      <c r="B241" s="339">
        <v>0.29</v>
      </c>
      <c r="C241" s="340" t="s">
        <v>194</v>
      </c>
      <c r="F241" s="330">
        <v>0.375</v>
      </c>
      <c r="G241" s="331" t="s">
        <v>145</v>
      </c>
      <c r="I241" s="330">
        <v>0.1405</v>
      </c>
      <c r="J241" s="331">
        <v>28</v>
      </c>
      <c r="V241" t="str">
        <f t="shared" si="3"/>
        <v>Feet &lt;&lt;&lt;&gt;&gt;&gt; Mils</v>
      </c>
      <c r="W241" t="s">
        <v>62</v>
      </c>
      <c r="X241" t="s">
        <v>261</v>
      </c>
      <c r="Y241">
        <v>12000</v>
      </c>
    </row>
    <row r="242" spans="2:25" ht="15">
      <c r="B242" s="339">
        <v>0.2913</v>
      </c>
      <c r="D242" s="1">
        <v>7.4</v>
      </c>
      <c r="F242" s="330">
        <v>0.377</v>
      </c>
      <c r="G242" s="331" t="s">
        <v>148</v>
      </c>
      <c r="I242" s="330">
        <v>0.136</v>
      </c>
      <c r="J242" s="331">
        <v>29</v>
      </c>
      <c r="V242" t="str">
        <f t="shared" si="3"/>
        <v>Feet of water  &lt;&lt;&lt;&gt;&gt;&gt; Atmospheres </v>
      </c>
      <c r="W242" t="s">
        <v>263</v>
      </c>
      <c r="X242" t="s">
        <v>1107</v>
      </c>
      <c r="Y242">
        <v>0.0295</v>
      </c>
    </row>
    <row r="243" spans="2:25" ht="15">
      <c r="B243" s="339">
        <v>0.295</v>
      </c>
      <c r="C243" s="340" t="s">
        <v>198</v>
      </c>
      <c r="F243" s="330">
        <v>0.386</v>
      </c>
      <c r="G243" s="331" t="s">
        <v>155</v>
      </c>
      <c r="I243" s="330">
        <v>0.1285</v>
      </c>
      <c r="J243" s="331">
        <v>30</v>
      </c>
      <c r="V243" t="str">
        <f t="shared" si="3"/>
        <v>Feet of water  &lt;&lt;&lt;&gt;&gt;&gt; in. of Mercury </v>
      </c>
      <c r="W243" t="s">
        <v>263</v>
      </c>
      <c r="X243" t="s">
        <v>379</v>
      </c>
      <c r="Y243">
        <v>0.8826</v>
      </c>
    </row>
    <row r="244" spans="2:25" ht="15">
      <c r="B244" s="339">
        <v>0.2953</v>
      </c>
      <c r="D244" s="1">
        <v>7.5</v>
      </c>
      <c r="F244" s="330">
        <v>0.3906</v>
      </c>
      <c r="G244" s="331" t="s">
        <v>158</v>
      </c>
      <c r="I244" s="330">
        <v>0.125</v>
      </c>
      <c r="J244" s="331" t="s">
        <v>147</v>
      </c>
      <c r="V244" t="str">
        <f t="shared" si="3"/>
        <v>Feet of water  &lt;&lt;&lt;&gt;&gt;&gt; Kgs/sq. cm </v>
      </c>
      <c r="W244" t="s">
        <v>263</v>
      </c>
      <c r="X244" t="s">
        <v>1112</v>
      </c>
      <c r="Y244">
        <v>0.03048</v>
      </c>
    </row>
    <row r="245" spans="1:25" ht="15">
      <c r="A245" s="183" t="s">
        <v>202</v>
      </c>
      <c r="B245" s="339">
        <v>0.2969</v>
      </c>
      <c r="F245" s="330">
        <v>0.397</v>
      </c>
      <c r="G245" s="331" t="s">
        <v>120</v>
      </c>
      <c r="I245" s="330">
        <v>0.12</v>
      </c>
      <c r="J245" s="331">
        <v>31</v>
      </c>
      <c r="V245" t="str">
        <f t="shared" si="3"/>
        <v>Feet of water  &lt;&lt;&lt;&gt;&gt;&gt; Kgs/sq. meter </v>
      </c>
      <c r="W245" t="s">
        <v>263</v>
      </c>
      <c r="X245" t="s">
        <v>1114</v>
      </c>
      <c r="Y245">
        <v>304.8</v>
      </c>
    </row>
    <row r="246" spans="2:25" ht="15">
      <c r="B246" s="339">
        <v>0.2992</v>
      </c>
      <c r="D246" s="1">
        <v>7.6</v>
      </c>
      <c r="F246" s="330">
        <v>0.404</v>
      </c>
      <c r="G246" s="331" t="s">
        <v>101</v>
      </c>
      <c r="I246" s="330">
        <v>0.116</v>
      </c>
      <c r="J246" s="331">
        <v>32</v>
      </c>
      <c r="V246" t="str">
        <f t="shared" si="3"/>
        <v>Feet of water  &lt;&lt;&lt;&gt;&gt;&gt; Pounds/sq. Foot </v>
      </c>
      <c r="W246" t="s">
        <v>263</v>
      </c>
      <c r="X246" t="s">
        <v>1129</v>
      </c>
      <c r="Y246">
        <v>62.43</v>
      </c>
    </row>
    <row r="247" spans="2:25" ht="15">
      <c r="B247" s="339">
        <v>0.302</v>
      </c>
      <c r="C247" s="340" t="s">
        <v>206</v>
      </c>
      <c r="F247" s="330">
        <v>0.4062</v>
      </c>
      <c r="G247" s="331" t="s">
        <v>165</v>
      </c>
      <c r="I247" s="330">
        <v>0.113</v>
      </c>
      <c r="J247" s="331">
        <v>33</v>
      </c>
      <c r="V247" t="str">
        <f t="shared" si="3"/>
        <v>Feet of water  &lt;&lt;&lt;&gt;&gt;&gt; Pounds/sq. Inch </v>
      </c>
      <c r="W247" t="s">
        <v>263</v>
      </c>
      <c r="X247" t="s">
        <v>1115</v>
      </c>
      <c r="Y247">
        <v>0.4335</v>
      </c>
    </row>
    <row r="248" spans="2:25" ht="15">
      <c r="B248" s="339">
        <v>0.3031</v>
      </c>
      <c r="D248" s="1">
        <v>7.7</v>
      </c>
      <c r="F248" s="330">
        <v>0.41300000000000003</v>
      </c>
      <c r="G248" s="331" t="s">
        <v>102</v>
      </c>
      <c r="I248" s="330">
        <v>0.111</v>
      </c>
      <c r="J248" s="331">
        <v>34</v>
      </c>
      <c r="V248" t="str">
        <f t="shared" si="3"/>
        <v>Feet per Hour &lt;&lt;&lt;&gt;&gt;&gt; Meters per Hour</v>
      </c>
      <c r="W248" t="s">
        <v>380</v>
      </c>
      <c r="X248" t="s">
        <v>381</v>
      </c>
      <c r="Y248">
        <v>0.3048</v>
      </c>
    </row>
    <row r="249" spans="2:25" ht="15">
      <c r="B249" s="339">
        <v>0.3051</v>
      </c>
      <c r="D249" s="1">
        <v>7.75</v>
      </c>
      <c r="F249" s="330">
        <v>0.4219</v>
      </c>
      <c r="G249" s="331" t="s">
        <v>169</v>
      </c>
      <c r="I249" s="330">
        <v>0.11</v>
      </c>
      <c r="J249" s="331">
        <v>35</v>
      </c>
      <c r="V249" t="str">
        <f t="shared" si="3"/>
        <v>Feet per Hour &lt;&lt;&lt;&gt;&gt;&gt; Meters per Minute</v>
      </c>
      <c r="W249" t="s">
        <v>380</v>
      </c>
      <c r="X249" t="s">
        <v>382</v>
      </c>
      <c r="Y249">
        <v>0.00508</v>
      </c>
    </row>
    <row r="250" spans="2:25" ht="15">
      <c r="B250" s="339">
        <v>0.3071</v>
      </c>
      <c r="D250" s="1">
        <v>7.8</v>
      </c>
      <c r="F250" s="330">
        <v>0.4375</v>
      </c>
      <c r="G250" s="331" t="s">
        <v>172</v>
      </c>
      <c r="I250" s="330">
        <v>0.1094</v>
      </c>
      <c r="J250" s="331" t="s">
        <v>937</v>
      </c>
      <c r="V250" t="str">
        <f t="shared" si="3"/>
        <v>Feet per Hour &lt;&lt;&lt;&gt;&gt;&gt; Meters per Second</v>
      </c>
      <c r="W250" t="s">
        <v>380</v>
      </c>
      <c r="X250" t="s">
        <v>383</v>
      </c>
      <c r="Y250">
        <v>8.466667E-05</v>
      </c>
    </row>
    <row r="251" spans="2:25" ht="15">
      <c r="B251" s="339">
        <v>0.311</v>
      </c>
      <c r="D251" s="1">
        <v>7.9</v>
      </c>
      <c r="F251" s="330">
        <v>0.4531</v>
      </c>
      <c r="G251" s="331" t="s">
        <v>175</v>
      </c>
      <c r="I251" s="330">
        <v>0.1065</v>
      </c>
      <c r="J251" s="331">
        <v>36</v>
      </c>
      <c r="V251" t="str">
        <f t="shared" si="3"/>
        <v>Feet per Minute &lt;&lt;&lt;&gt;&gt;&gt; Centimeters per Second</v>
      </c>
      <c r="W251" t="s">
        <v>267</v>
      </c>
      <c r="X251" t="s">
        <v>266</v>
      </c>
      <c r="Y251">
        <v>0.508</v>
      </c>
    </row>
    <row r="252" spans="1:25" ht="15">
      <c r="A252" s="183" t="s">
        <v>212</v>
      </c>
      <c r="B252" s="339">
        <v>0.3125</v>
      </c>
      <c r="F252" s="330">
        <v>0.4688</v>
      </c>
      <c r="G252" s="331" t="s">
        <v>178</v>
      </c>
      <c r="I252" s="330">
        <v>0.10400000000000001</v>
      </c>
      <c r="J252" s="331">
        <v>37</v>
      </c>
      <c r="V252" t="str">
        <f t="shared" si="3"/>
        <v>Feet per Minute &lt;&lt;&lt;&gt;&gt;&gt; Meters per Hour</v>
      </c>
      <c r="W252" t="s">
        <v>267</v>
      </c>
      <c r="X252" t="s">
        <v>381</v>
      </c>
      <c r="Y252">
        <v>18.288</v>
      </c>
    </row>
    <row r="253" spans="2:25" ht="15">
      <c r="B253" s="339">
        <v>0.315</v>
      </c>
      <c r="D253" s="1">
        <v>8</v>
      </c>
      <c r="F253" s="330">
        <v>0.4844</v>
      </c>
      <c r="G253" s="331" t="s">
        <v>182</v>
      </c>
      <c r="I253" s="330">
        <v>0.1015</v>
      </c>
      <c r="J253" s="331">
        <v>38</v>
      </c>
      <c r="V253" t="str">
        <f t="shared" si="3"/>
        <v>Feet per Minute &lt;&lt;&lt;&gt;&gt;&gt; Meters per Minute</v>
      </c>
      <c r="W253" t="s">
        <v>267</v>
      </c>
      <c r="X253" t="s">
        <v>382</v>
      </c>
      <c r="Y253">
        <v>0.3048</v>
      </c>
    </row>
    <row r="254" spans="2:25" ht="15">
      <c r="B254" s="339">
        <v>0.316</v>
      </c>
      <c r="C254" s="340" t="s">
        <v>216</v>
      </c>
      <c r="F254" s="330">
        <v>0.5</v>
      </c>
      <c r="G254" s="331" t="s">
        <v>185</v>
      </c>
      <c r="I254" s="330">
        <v>0.0995</v>
      </c>
      <c r="J254" s="331">
        <v>39</v>
      </c>
      <c r="V254" t="str">
        <f t="shared" si="3"/>
        <v>Feet per Minute &lt;&lt;&lt;&gt;&gt;&gt; Meters per Second</v>
      </c>
      <c r="W254" t="s">
        <v>267</v>
      </c>
      <c r="X254" t="s">
        <v>383</v>
      </c>
      <c r="Y254">
        <v>0.00508</v>
      </c>
    </row>
    <row r="255" spans="2:25" ht="15">
      <c r="B255" s="339">
        <v>0.3189</v>
      </c>
      <c r="D255" s="1">
        <v>8.1</v>
      </c>
      <c r="F255" s="330">
        <v>0.5156</v>
      </c>
      <c r="G255" s="331" t="s">
        <v>189</v>
      </c>
      <c r="I255" s="330">
        <v>0.098</v>
      </c>
      <c r="J255" s="331">
        <v>40</v>
      </c>
      <c r="V255" t="str">
        <f t="shared" si="3"/>
        <v>Feet per Second &lt;&lt;&lt;&gt;&gt;&gt; Centimeters per Second</v>
      </c>
      <c r="W255" t="s">
        <v>268</v>
      </c>
      <c r="X255" t="s">
        <v>266</v>
      </c>
      <c r="Y255">
        <v>30.48</v>
      </c>
    </row>
    <row r="256" spans="2:25" ht="15">
      <c r="B256" s="339">
        <v>0.3228</v>
      </c>
      <c r="D256" s="1">
        <v>8.2</v>
      </c>
      <c r="F256" s="330">
        <v>0.5312</v>
      </c>
      <c r="G256" s="331" t="s">
        <v>191</v>
      </c>
      <c r="I256" s="330">
        <v>0.096</v>
      </c>
      <c r="J256" s="331">
        <v>41</v>
      </c>
      <c r="V256" t="str">
        <f t="shared" si="3"/>
        <v>Feet per Second &lt;&lt;&lt;&gt;&gt;&gt; Meters per Minute</v>
      </c>
      <c r="W256" t="s">
        <v>268</v>
      </c>
      <c r="X256" t="s">
        <v>382</v>
      </c>
      <c r="Y256">
        <v>18.288</v>
      </c>
    </row>
    <row r="257" spans="2:25" ht="15">
      <c r="B257" s="339">
        <v>0.323</v>
      </c>
      <c r="C257" s="340" t="s">
        <v>221</v>
      </c>
      <c r="F257" s="330">
        <v>0.5469</v>
      </c>
      <c r="G257" s="331" t="s">
        <v>193</v>
      </c>
      <c r="I257" s="330">
        <v>0.09380000000000001</v>
      </c>
      <c r="J257" s="331" t="s">
        <v>225</v>
      </c>
      <c r="V257" t="str">
        <f t="shared" si="3"/>
        <v>Feet per Second &lt;&lt;&lt;&gt;&gt;&gt; Meters per Second</v>
      </c>
      <c r="W257" t="s">
        <v>268</v>
      </c>
      <c r="X257" t="s">
        <v>383</v>
      </c>
      <c r="Y257">
        <v>0.3048</v>
      </c>
    </row>
    <row r="258" spans="2:25" ht="15">
      <c r="B258" s="339">
        <v>0.3248</v>
      </c>
      <c r="D258" s="1">
        <v>8.25</v>
      </c>
      <c r="F258" s="330">
        <v>0.5625</v>
      </c>
      <c r="G258" s="331" t="s">
        <v>196</v>
      </c>
      <c r="I258" s="330">
        <v>0.0935</v>
      </c>
      <c r="J258" s="331">
        <v>42</v>
      </c>
      <c r="V258" t="str">
        <f t="shared" si="3"/>
        <v>Feet/Minutes  &lt;&lt;&lt;&gt;&gt;&gt; Centimeters/Seconds </v>
      </c>
      <c r="W258" t="s">
        <v>271</v>
      </c>
      <c r="X258" t="s">
        <v>270</v>
      </c>
      <c r="Y258">
        <v>0.508</v>
      </c>
    </row>
    <row r="259" spans="2:25" ht="15">
      <c r="B259" s="339">
        <v>0.3268</v>
      </c>
      <c r="D259" s="1">
        <v>8.3</v>
      </c>
      <c r="F259" s="330">
        <v>0.5781</v>
      </c>
      <c r="G259" s="331" t="s">
        <v>200</v>
      </c>
      <c r="I259" s="330">
        <v>0.089</v>
      </c>
      <c r="J259" s="331">
        <v>43</v>
      </c>
      <c r="V259" t="str">
        <f aca="true" t="shared" si="4" ref="V259:V322">IF(W259="","",W259&amp;" &lt;&lt;&lt;&gt;&gt;&gt; "&amp;X259)</f>
        <v>Feet/Minutes  &lt;&lt;&lt;&gt;&gt;&gt; Feet/Seconds </v>
      </c>
      <c r="W259" t="s">
        <v>271</v>
      </c>
      <c r="X259" t="s">
        <v>272</v>
      </c>
      <c r="Y259">
        <v>0.01667</v>
      </c>
    </row>
    <row r="260" spans="1:25" ht="15">
      <c r="A260" s="183" t="s">
        <v>226</v>
      </c>
      <c r="B260" s="339">
        <v>0.3281</v>
      </c>
      <c r="F260" s="330">
        <v>0.5938</v>
      </c>
      <c r="G260" s="331" t="s">
        <v>204</v>
      </c>
      <c r="I260" s="330">
        <v>0.08600000000000001</v>
      </c>
      <c r="J260" s="331">
        <v>44</v>
      </c>
      <c r="V260" t="str">
        <f t="shared" si="4"/>
        <v>Feet/Minutes  &lt;&lt;&lt;&gt;&gt;&gt; Kilometers/kr </v>
      </c>
      <c r="W260" t="s">
        <v>271</v>
      </c>
      <c r="X260" t="s">
        <v>384</v>
      </c>
      <c r="Y260">
        <v>0.01829</v>
      </c>
    </row>
    <row r="261" spans="2:25" ht="15">
      <c r="B261" s="339">
        <v>0.3307</v>
      </c>
      <c r="D261" s="1">
        <v>8.4</v>
      </c>
      <c r="F261" s="330">
        <v>0.6094</v>
      </c>
      <c r="G261" s="331" t="s">
        <v>207</v>
      </c>
      <c r="I261" s="330">
        <v>0.082</v>
      </c>
      <c r="J261" s="331">
        <v>45</v>
      </c>
      <c r="V261" t="str">
        <f t="shared" si="4"/>
        <v>Feet/Minutes  &lt;&lt;&lt;&gt;&gt;&gt; Meters/Minutes </v>
      </c>
      <c r="W261" t="s">
        <v>271</v>
      </c>
      <c r="X261" t="s">
        <v>275</v>
      </c>
      <c r="Y261">
        <v>0.3048</v>
      </c>
    </row>
    <row r="262" spans="2:25" ht="15">
      <c r="B262" s="339">
        <v>0.332</v>
      </c>
      <c r="C262" s="340" t="s">
        <v>920</v>
      </c>
      <c r="F262" s="330">
        <v>0.625</v>
      </c>
      <c r="G262" s="331" t="s">
        <v>209</v>
      </c>
      <c r="I262" s="330">
        <v>0.081</v>
      </c>
      <c r="J262" s="331">
        <v>46</v>
      </c>
      <c r="V262" t="str">
        <f t="shared" si="4"/>
        <v>Feet/Minutes  &lt;&lt;&lt;&gt;&gt;&gt; Miles/Hour </v>
      </c>
      <c r="W262" t="s">
        <v>271</v>
      </c>
      <c r="X262" t="s">
        <v>276</v>
      </c>
      <c r="Y262">
        <v>0.01136</v>
      </c>
    </row>
    <row r="263" spans="2:25" ht="15">
      <c r="B263" s="339">
        <v>0.3346</v>
      </c>
      <c r="D263" s="1">
        <v>8.5</v>
      </c>
      <c r="F263" s="330">
        <v>0.6406</v>
      </c>
      <c r="G263" s="331" t="s">
        <v>211</v>
      </c>
      <c r="I263" s="330">
        <v>0.0785</v>
      </c>
      <c r="J263" s="331">
        <v>47</v>
      </c>
      <c r="V263" t="str">
        <f t="shared" si="4"/>
        <v>Feet/Seconds  &lt;&lt;&lt;&gt;&gt;&gt; Centimeters/Seconds </v>
      </c>
      <c r="W263" t="s">
        <v>272</v>
      </c>
      <c r="X263" t="s">
        <v>270</v>
      </c>
      <c r="Y263">
        <v>30.48</v>
      </c>
    </row>
    <row r="264" spans="2:25" ht="15">
      <c r="B264" s="339">
        <v>0.3386</v>
      </c>
      <c r="D264" s="1">
        <v>8.6</v>
      </c>
      <c r="F264" s="330">
        <v>0.6562</v>
      </c>
      <c r="G264" s="331" t="s">
        <v>215</v>
      </c>
      <c r="I264" s="330">
        <v>0.0781</v>
      </c>
      <c r="J264" s="331" t="s">
        <v>201</v>
      </c>
      <c r="V264" t="str">
        <f t="shared" si="4"/>
        <v>Feet/Seconds  &lt;&lt;&lt;&gt;&gt;&gt; Kilometers/Hour </v>
      </c>
      <c r="W264" t="s">
        <v>272</v>
      </c>
      <c r="X264" t="s">
        <v>273</v>
      </c>
      <c r="Y264">
        <v>1.097</v>
      </c>
    </row>
    <row r="265" spans="2:25" ht="15">
      <c r="B265" s="339">
        <v>0.339</v>
      </c>
      <c r="C265" s="340" t="s">
        <v>926</v>
      </c>
      <c r="F265" s="330">
        <v>0.6719</v>
      </c>
      <c r="G265" s="331" t="s">
        <v>218</v>
      </c>
      <c r="I265" s="330">
        <v>0.076</v>
      </c>
      <c r="J265" s="331">
        <v>48</v>
      </c>
      <c r="V265" t="str">
        <f t="shared" si="4"/>
        <v>Feet/Seconds  &lt;&lt;&lt;&gt;&gt;&gt; Knots </v>
      </c>
      <c r="W265" t="s">
        <v>272</v>
      </c>
      <c r="X265" t="s">
        <v>274</v>
      </c>
      <c r="Y265">
        <v>0.5921</v>
      </c>
    </row>
    <row r="266" spans="2:25" ht="15">
      <c r="B266" s="339">
        <v>0.3425</v>
      </c>
      <c r="D266" s="1">
        <v>8.7</v>
      </c>
      <c r="F266" s="330">
        <v>0.6875</v>
      </c>
      <c r="G266" s="331" t="s">
        <v>220</v>
      </c>
      <c r="I266" s="330">
        <v>0.073</v>
      </c>
      <c r="J266" s="331">
        <v>49</v>
      </c>
      <c r="V266" t="str">
        <f t="shared" si="4"/>
        <v>Feet/Seconds  &lt;&lt;&lt;&gt;&gt;&gt; Meters/Minutes </v>
      </c>
      <c r="W266" t="s">
        <v>272</v>
      </c>
      <c r="X266" t="s">
        <v>275</v>
      </c>
      <c r="Y266">
        <v>18.29</v>
      </c>
    </row>
    <row r="267" spans="1:25" ht="15">
      <c r="A267" s="183" t="s">
        <v>929</v>
      </c>
      <c r="B267" s="339">
        <v>0.3438</v>
      </c>
      <c r="F267" s="330">
        <v>0.7031</v>
      </c>
      <c r="G267" s="331" t="s">
        <v>223</v>
      </c>
      <c r="I267" s="330">
        <v>0.07</v>
      </c>
      <c r="J267" s="331">
        <v>50</v>
      </c>
      <c r="V267" t="str">
        <f t="shared" si="4"/>
        <v>Feet/Seconds  &lt;&lt;&lt;&gt;&gt;&gt; Miles/Hour </v>
      </c>
      <c r="W267" t="s">
        <v>272</v>
      </c>
      <c r="X267" t="s">
        <v>276</v>
      </c>
      <c r="Y267">
        <v>0.6818</v>
      </c>
    </row>
    <row r="268" spans="2:25" ht="15">
      <c r="B268" s="339">
        <v>0.34450000000000003</v>
      </c>
      <c r="D268" s="1">
        <v>8.75</v>
      </c>
      <c r="F268" s="330">
        <v>0.7188</v>
      </c>
      <c r="G268" s="331" t="s">
        <v>918</v>
      </c>
      <c r="I268" s="330">
        <v>0.067</v>
      </c>
      <c r="J268" s="331">
        <v>51</v>
      </c>
      <c r="V268" t="str">
        <f t="shared" si="4"/>
        <v>Feet/Seconds  &lt;&lt;&lt;&gt;&gt;&gt; Miles/Minutes </v>
      </c>
      <c r="W268" t="s">
        <v>272</v>
      </c>
      <c r="X268" t="s">
        <v>277</v>
      </c>
      <c r="Y268">
        <v>0.01136</v>
      </c>
    </row>
    <row r="269" spans="2:25" ht="15">
      <c r="B269" s="339">
        <v>0.34650000000000003</v>
      </c>
      <c r="D269" s="1">
        <v>8.8</v>
      </c>
      <c r="F269" s="330">
        <v>0.7344</v>
      </c>
      <c r="G269" s="331" t="s">
        <v>921</v>
      </c>
      <c r="I269" s="330">
        <v>0.0635</v>
      </c>
      <c r="J269" s="331">
        <v>52</v>
      </c>
      <c r="V269" t="str">
        <f t="shared" si="4"/>
        <v>Feet/Seconds/Seconds  &lt;&lt;&lt;&gt;&gt;&gt; Centimeters/Seconds/Seconds </v>
      </c>
      <c r="W269" t="s">
        <v>279</v>
      </c>
      <c r="X269" t="s">
        <v>278</v>
      </c>
      <c r="Y269">
        <v>30.48</v>
      </c>
    </row>
    <row r="270" spans="2:25" ht="15">
      <c r="B270" s="339">
        <v>0.34800000000000003</v>
      </c>
      <c r="C270" s="340" t="s">
        <v>933</v>
      </c>
      <c r="F270" s="330">
        <v>0.75</v>
      </c>
      <c r="G270" s="331" t="s">
        <v>924</v>
      </c>
      <c r="I270" s="330">
        <v>0.0625</v>
      </c>
      <c r="J270" s="331" t="s">
        <v>177</v>
      </c>
      <c r="V270" t="str">
        <f t="shared" si="4"/>
        <v>Feet/Seconds/Seconds  &lt;&lt;&lt;&gt;&gt;&gt; Kilometers/Hour/Seconds </v>
      </c>
      <c r="W270" t="s">
        <v>279</v>
      </c>
      <c r="X270" t="s">
        <v>280</v>
      </c>
      <c r="Y270">
        <v>1.097</v>
      </c>
    </row>
    <row r="271" spans="2:25" ht="15">
      <c r="B271" s="339">
        <v>0.3504</v>
      </c>
      <c r="D271" s="1">
        <v>8.9</v>
      </c>
      <c r="F271" s="330">
        <v>0.7656</v>
      </c>
      <c r="G271" s="331" t="s">
        <v>927</v>
      </c>
      <c r="I271" s="330">
        <v>0.059500000000000004</v>
      </c>
      <c r="J271" s="331">
        <v>53</v>
      </c>
      <c r="V271" t="str">
        <f t="shared" si="4"/>
        <v>Feet/Seconds/Seconds  &lt;&lt;&lt;&gt;&gt;&gt; Meters/Seconds/Seconds </v>
      </c>
      <c r="W271" t="s">
        <v>279</v>
      </c>
      <c r="X271" t="s">
        <v>385</v>
      </c>
      <c r="Y271">
        <v>0.3048</v>
      </c>
    </row>
    <row r="272" spans="2:25" ht="15">
      <c r="B272" s="339">
        <v>0.3543</v>
      </c>
      <c r="D272" s="1">
        <v>9</v>
      </c>
      <c r="F272" s="330">
        <v>0.7812</v>
      </c>
      <c r="G272" s="331" t="s">
        <v>930</v>
      </c>
      <c r="I272" s="330">
        <v>0.055</v>
      </c>
      <c r="J272" s="331">
        <v>54</v>
      </c>
      <c r="V272" t="str">
        <f t="shared" si="4"/>
        <v>Feet/Seconds/Seconds  &lt;&lt;&lt;&gt;&gt;&gt; Miles/Hour/Seconds </v>
      </c>
      <c r="W272" t="s">
        <v>279</v>
      </c>
      <c r="X272" t="s">
        <v>282</v>
      </c>
      <c r="Y272">
        <v>0.6818</v>
      </c>
    </row>
    <row r="273" spans="2:25" ht="15">
      <c r="B273" s="339">
        <v>0.358</v>
      </c>
      <c r="C273" s="340" t="s">
        <v>939</v>
      </c>
      <c r="F273" s="330">
        <v>0.7969</v>
      </c>
      <c r="G273" s="331" t="s">
        <v>932</v>
      </c>
      <c r="I273" s="330">
        <v>0.052000000000000005</v>
      </c>
      <c r="J273" s="331">
        <v>55</v>
      </c>
      <c r="V273" t="str">
        <f t="shared" si="4"/>
        <v>Foot-Candle  &lt;&lt;&lt;&gt;&gt;&gt; Lumen/sq. Meter </v>
      </c>
      <c r="W273" t="s">
        <v>386</v>
      </c>
      <c r="X273" t="s">
        <v>387</v>
      </c>
      <c r="Y273">
        <v>10.764</v>
      </c>
    </row>
    <row r="274" spans="2:25" ht="15">
      <c r="B274" s="339">
        <v>0.3583</v>
      </c>
      <c r="D274" s="1">
        <v>9.1</v>
      </c>
      <c r="F274" s="330">
        <v>0.8125</v>
      </c>
      <c r="G274" s="331" t="s">
        <v>935</v>
      </c>
      <c r="I274" s="330">
        <v>0.046900000000000004</v>
      </c>
      <c r="J274" s="331" t="s">
        <v>157</v>
      </c>
      <c r="V274" t="str">
        <f t="shared" si="4"/>
        <v>Foot-Candle  &lt;&lt;&lt;&gt;&gt;&gt; Lumen/Square Meter </v>
      </c>
      <c r="W274" t="s">
        <v>386</v>
      </c>
      <c r="X274" t="s">
        <v>388</v>
      </c>
      <c r="Y274">
        <v>10.764</v>
      </c>
    </row>
    <row r="275" spans="1:25" ht="15">
      <c r="A275" s="183" t="s">
        <v>943</v>
      </c>
      <c r="B275" s="339">
        <v>0.3594</v>
      </c>
      <c r="F275" s="330">
        <v>0.8281</v>
      </c>
      <c r="G275" s="331" t="s">
        <v>940</v>
      </c>
      <c r="I275" s="330">
        <v>0.0465</v>
      </c>
      <c r="J275" s="331">
        <v>56</v>
      </c>
      <c r="V275" t="str">
        <f t="shared" si="4"/>
        <v>Foot-pounds  &lt;&lt;&lt;&gt;&gt;&gt; BTU </v>
      </c>
      <c r="W275" t="s">
        <v>389</v>
      </c>
      <c r="X275" t="s">
        <v>1133</v>
      </c>
      <c r="Y275">
        <v>0.001286</v>
      </c>
    </row>
    <row r="276" spans="2:25" ht="15">
      <c r="B276" s="339">
        <v>0.3622</v>
      </c>
      <c r="D276" s="1">
        <v>9.2</v>
      </c>
      <c r="F276" s="330">
        <v>0.8438</v>
      </c>
      <c r="G276" s="331" t="s">
        <v>942</v>
      </c>
      <c r="I276" s="330">
        <v>0.043000000000000003</v>
      </c>
      <c r="J276" s="331">
        <v>57</v>
      </c>
      <c r="V276" t="str">
        <f t="shared" si="4"/>
        <v>Foot-pounds  &lt;&lt;&lt;&gt;&gt;&gt; Ergs </v>
      </c>
      <c r="W276" t="s">
        <v>389</v>
      </c>
      <c r="X276" t="s">
        <v>1134</v>
      </c>
      <c r="Y276">
        <v>13600000</v>
      </c>
    </row>
    <row r="277" spans="2:25" ht="15">
      <c r="B277" s="339">
        <v>0.3642</v>
      </c>
      <c r="D277" s="1">
        <v>9.25</v>
      </c>
      <c r="F277" s="330">
        <v>0.8594</v>
      </c>
      <c r="G277" s="331" t="s">
        <v>945</v>
      </c>
      <c r="I277" s="330">
        <v>0.042</v>
      </c>
      <c r="J277" s="331">
        <v>58</v>
      </c>
      <c r="V277" t="str">
        <f t="shared" si="4"/>
        <v>Foot-pounds  &lt;&lt;&lt;&gt;&gt;&gt; Gram-Calories </v>
      </c>
      <c r="W277" t="s">
        <v>389</v>
      </c>
      <c r="X277" t="s">
        <v>1136</v>
      </c>
      <c r="Y277">
        <v>0.3238</v>
      </c>
    </row>
    <row r="278" spans="2:25" ht="15">
      <c r="B278" s="339">
        <v>0.3661</v>
      </c>
      <c r="D278" s="1">
        <v>9.3</v>
      </c>
      <c r="F278" s="330">
        <v>0.875</v>
      </c>
      <c r="G278" s="331" t="s">
        <v>947</v>
      </c>
      <c r="I278" s="330">
        <v>0.041</v>
      </c>
      <c r="J278" s="331">
        <v>59</v>
      </c>
      <c r="V278" t="str">
        <f t="shared" si="4"/>
        <v>Foot-pounds  &lt;&lt;&lt;&gt;&gt;&gt; hp-Hours </v>
      </c>
      <c r="W278" t="s">
        <v>389</v>
      </c>
      <c r="X278" t="s">
        <v>390</v>
      </c>
      <c r="Y278">
        <v>5.05E-07</v>
      </c>
    </row>
    <row r="279" spans="2:25" ht="15">
      <c r="B279" s="339">
        <v>0.368</v>
      </c>
      <c r="C279" s="340" t="s">
        <v>948</v>
      </c>
      <c r="F279" s="330">
        <v>0.8906</v>
      </c>
      <c r="G279" s="331" t="s">
        <v>950</v>
      </c>
      <c r="I279" s="330">
        <v>0.04</v>
      </c>
      <c r="J279" s="331">
        <v>60</v>
      </c>
      <c r="V279" t="str">
        <f t="shared" si="4"/>
        <v>Foot-pounds  &lt;&lt;&lt;&gt;&gt;&gt; Joules </v>
      </c>
      <c r="W279" t="s">
        <v>389</v>
      </c>
      <c r="X279" t="s">
        <v>1138</v>
      </c>
      <c r="Y279">
        <v>1.356</v>
      </c>
    </row>
    <row r="280" spans="2:25" ht="15">
      <c r="B280" s="339">
        <v>0.3701</v>
      </c>
      <c r="D280" s="1">
        <v>9.4</v>
      </c>
      <c r="F280" s="330">
        <v>0.9062</v>
      </c>
      <c r="G280" s="331" t="s">
        <v>146</v>
      </c>
      <c r="I280" s="330">
        <v>0.039</v>
      </c>
      <c r="J280" s="331">
        <v>61</v>
      </c>
      <c r="V280" t="str">
        <f t="shared" si="4"/>
        <v>Foot-pounds  &lt;&lt;&lt;&gt;&gt;&gt; Kilogram-Calories </v>
      </c>
      <c r="W280" t="s">
        <v>389</v>
      </c>
      <c r="X280" t="s">
        <v>1139</v>
      </c>
      <c r="Y280">
        <v>0.000324</v>
      </c>
    </row>
    <row r="281" spans="2:25" ht="15">
      <c r="B281" s="339">
        <v>0.374</v>
      </c>
      <c r="D281" s="1">
        <v>9.5</v>
      </c>
      <c r="F281" s="330">
        <v>0.9219</v>
      </c>
      <c r="G281" s="331" t="s">
        <v>149</v>
      </c>
      <c r="I281" s="330">
        <v>0.038</v>
      </c>
      <c r="J281" s="331">
        <v>62</v>
      </c>
      <c r="V281" t="str">
        <f t="shared" si="4"/>
        <v>Foot-pounds  &lt;&lt;&lt;&gt;&gt;&gt; Kilowatt-Hours </v>
      </c>
      <c r="W281" t="s">
        <v>389</v>
      </c>
      <c r="X281" t="s">
        <v>1141</v>
      </c>
      <c r="Y281">
        <v>3.77E-07</v>
      </c>
    </row>
    <row r="282" spans="1:25" ht="15">
      <c r="A282" s="183" t="s">
        <v>145</v>
      </c>
      <c r="B282" s="339">
        <v>0.375</v>
      </c>
      <c r="F282" s="330">
        <v>0.9375</v>
      </c>
      <c r="G282" s="331" t="s">
        <v>151</v>
      </c>
      <c r="I282" s="330">
        <v>0.037</v>
      </c>
      <c r="J282" s="331">
        <v>63</v>
      </c>
      <c r="V282" t="str">
        <f t="shared" si="4"/>
        <v>Foot-pounds/Minute  &lt;&lt;&lt;&gt;&gt;&gt; BTU/Minute </v>
      </c>
      <c r="W282" t="s">
        <v>391</v>
      </c>
      <c r="X282" t="s">
        <v>230</v>
      </c>
      <c r="Y282">
        <v>0.001286</v>
      </c>
    </row>
    <row r="283" spans="2:25" ht="15">
      <c r="B283" s="339">
        <v>0.377</v>
      </c>
      <c r="C283" s="340" t="s">
        <v>148</v>
      </c>
      <c r="F283" s="330">
        <v>0.9531</v>
      </c>
      <c r="G283" s="331" t="s">
        <v>153</v>
      </c>
      <c r="I283" s="330">
        <v>0.036</v>
      </c>
      <c r="J283" s="331">
        <v>64</v>
      </c>
      <c r="V283" t="str">
        <f t="shared" si="4"/>
        <v>Foot-pounds/Minute  &lt;&lt;&lt;&gt;&gt;&gt; Foot-pounds/Second </v>
      </c>
      <c r="W283" t="s">
        <v>391</v>
      </c>
      <c r="X283" t="s">
        <v>227</v>
      </c>
      <c r="Y283">
        <v>0.01667</v>
      </c>
    </row>
    <row r="284" spans="2:25" ht="15">
      <c r="B284" s="339">
        <v>0.378</v>
      </c>
      <c r="D284" s="1">
        <v>9.6</v>
      </c>
      <c r="F284" s="330">
        <v>0.9688</v>
      </c>
      <c r="G284" s="331" t="s">
        <v>156</v>
      </c>
      <c r="I284" s="330">
        <v>0.035</v>
      </c>
      <c r="J284" s="331">
        <v>65</v>
      </c>
      <c r="V284" t="str">
        <f t="shared" si="4"/>
        <v>Foot-pounds/Minute  &lt;&lt;&lt;&gt;&gt;&gt; HorsePower </v>
      </c>
      <c r="W284" t="s">
        <v>391</v>
      </c>
      <c r="X284" t="s">
        <v>232</v>
      </c>
      <c r="Y284">
        <v>3.03E-05</v>
      </c>
    </row>
    <row r="285" spans="2:25" ht="15">
      <c r="B285" s="339">
        <v>0.3819</v>
      </c>
      <c r="D285" s="1">
        <v>9.7</v>
      </c>
      <c r="F285" s="330">
        <v>0.9844</v>
      </c>
      <c r="G285" s="331" t="s">
        <v>161</v>
      </c>
      <c r="I285" s="330">
        <v>0.033</v>
      </c>
      <c r="J285" s="331">
        <v>66</v>
      </c>
      <c r="V285" t="str">
        <f t="shared" si="4"/>
        <v>Foot-pounds/Minute  &lt;&lt;&lt;&gt;&gt;&gt; Kilowatts </v>
      </c>
      <c r="W285" t="s">
        <v>391</v>
      </c>
      <c r="X285" t="s">
        <v>233</v>
      </c>
      <c r="Y285">
        <v>2.26E-05</v>
      </c>
    </row>
    <row r="286" spans="2:25" ht="15">
      <c r="B286" s="339">
        <v>0.3839</v>
      </c>
      <c r="D286" s="1">
        <v>9.75</v>
      </c>
      <c r="F286" s="330">
        <v>1</v>
      </c>
      <c r="G286" s="331" t="s">
        <v>163</v>
      </c>
      <c r="I286" s="330">
        <v>0.032</v>
      </c>
      <c r="J286" s="331">
        <v>67</v>
      </c>
      <c r="V286" t="str">
        <f t="shared" si="4"/>
        <v>Foot-pounds/Second  &lt;&lt;&lt;&gt;&gt;&gt; BTU/Hour </v>
      </c>
      <c r="W286" t="s">
        <v>227</v>
      </c>
      <c r="X286" t="s">
        <v>1142</v>
      </c>
      <c r="Y286">
        <v>4.6263</v>
      </c>
    </row>
    <row r="287" spans="2:25" ht="15">
      <c r="B287" s="339">
        <v>0.3858</v>
      </c>
      <c r="D287" s="1">
        <v>9.8</v>
      </c>
      <c r="F287" s="330">
        <v>1.0156</v>
      </c>
      <c r="G287" s="331" t="s">
        <v>166</v>
      </c>
      <c r="I287" s="330">
        <v>0.0312</v>
      </c>
      <c r="J287" s="331" t="s">
        <v>954</v>
      </c>
      <c r="V287" t="str">
        <f t="shared" si="4"/>
        <v>Foot-pounds/Second  &lt;&lt;&lt;&gt;&gt;&gt; BTU/Minute </v>
      </c>
      <c r="W287" t="s">
        <v>227</v>
      </c>
      <c r="X287" t="s">
        <v>230</v>
      </c>
      <c r="Y287">
        <v>0.07717</v>
      </c>
    </row>
    <row r="288" spans="2:25" ht="15">
      <c r="B288" s="339">
        <v>0.386</v>
      </c>
      <c r="C288" s="340" t="s">
        <v>155</v>
      </c>
      <c r="F288" s="330">
        <v>1.0312</v>
      </c>
      <c r="G288" s="331" t="s">
        <v>168</v>
      </c>
      <c r="I288" s="330">
        <v>0.031</v>
      </c>
      <c r="J288" s="331">
        <v>68</v>
      </c>
      <c r="V288" t="str">
        <f t="shared" si="4"/>
        <v>Foot-pounds/Second  &lt;&lt;&lt;&gt;&gt;&gt; HorsePower </v>
      </c>
      <c r="W288" t="s">
        <v>227</v>
      </c>
      <c r="X288" t="s">
        <v>232</v>
      </c>
      <c r="Y288">
        <v>0.000818</v>
      </c>
    </row>
    <row r="289" spans="2:25" ht="15">
      <c r="B289" s="339">
        <v>0.3898</v>
      </c>
      <c r="D289" s="1">
        <v>9.9</v>
      </c>
      <c r="F289" s="330">
        <v>1.0469</v>
      </c>
      <c r="G289" s="331" t="s">
        <v>171</v>
      </c>
      <c r="I289" s="330">
        <v>0.0292</v>
      </c>
      <c r="J289" s="331">
        <v>69</v>
      </c>
      <c r="V289" t="str">
        <f t="shared" si="4"/>
        <v>Foot-pounds/Second  &lt;&lt;&lt;&gt;&gt;&gt; Kilowatts </v>
      </c>
      <c r="W289" t="s">
        <v>227</v>
      </c>
      <c r="X289" t="s">
        <v>233</v>
      </c>
      <c r="Y289">
        <v>0.001356</v>
      </c>
    </row>
    <row r="290" spans="1:25" ht="15">
      <c r="A290" s="183" t="s">
        <v>158</v>
      </c>
      <c r="B290" s="339">
        <v>0.3906</v>
      </c>
      <c r="F290" s="330">
        <v>1.0625</v>
      </c>
      <c r="G290" s="331" t="s">
        <v>173</v>
      </c>
      <c r="I290" s="330">
        <v>0.028</v>
      </c>
      <c r="J290" s="331">
        <v>70</v>
      </c>
      <c r="V290" t="str">
        <f t="shared" si="4"/>
        <v>Furlongs &lt;&lt;&lt;&gt;&gt;&gt; Feet</v>
      </c>
      <c r="W290" t="s">
        <v>392</v>
      </c>
      <c r="X290" t="s">
        <v>62</v>
      </c>
      <c r="Y290">
        <v>660</v>
      </c>
    </row>
    <row r="291" spans="2:25" ht="15">
      <c r="B291" s="339">
        <v>0.3937</v>
      </c>
      <c r="D291" s="1">
        <v>10</v>
      </c>
      <c r="F291" s="330">
        <v>1.0781</v>
      </c>
      <c r="G291" s="331" t="s">
        <v>176</v>
      </c>
      <c r="I291" s="330">
        <v>0.026</v>
      </c>
      <c r="J291" s="331">
        <v>71</v>
      </c>
      <c r="V291" t="str">
        <f t="shared" si="4"/>
        <v>Furlongs &lt;&lt;&lt;&gt;&gt;&gt; Miles</v>
      </c>
      <c r="W291" t="s">
        <v>392</v>
      </c>
      <c r="X291" t="s">
        <v>68</v>
      </c>
      <c r="Y291">
        <v>0.125</v>
      </c>
    </row>
    <row r="292" spans="2:25" ht="15">
      <c r="B292" s="339">
        <v>0.397</v>
      </c>
      <c r="C292" s="340" t="s">
        <v>120</v>
      </c>
      <c r="F292" s="330">
        <v>1.0938</v>
      </c>
      <c r="G292" s="331" t="s">
        <v>181</v>
      </c>
      <c r="I292" s="330">
        <v>0.025</v>
      </c>
      <c r="J292" s="331">
        <v>72</v>
      </c>
      <c r="V292" t="str">
        <f t="shared" si="4"/>
        <v>Furlongs &lt;&lt;&lt;&gt;&gt;&gt; Rods</v>
      </c>
      <c r="W292" t="s">
        <v>392</v>
      </c>
      <c r="X292" t="s">
        <v>393</v>
      </c>
      <c r="Y292">
        <v>40</v>
      </c>
    </row>
    <row r="293" spans="2:25" ht="15">
      <c r="B293" s="339">
        <v>0.404</v>
      </c>
      <c r="C293" s="340" t="s">
        <v>101</v>
      </c>
      <c r="F293" s="330">
        <v>1.1094</v>
      </c>
      <c r="G293" s="331" t="s">
        <v>184</v>
      </c>
      <c r="I293" s="330">
        <v>0.024</v>
      </c>
      <c r="J293" s="331">
        <v>73</v>
      </c>
      <c r="V293" t="str">
        <f t="shared" si="4"/>
        <v>Gallon (U.K. liquid) &lt;&lt;&lt;&gt;&gt;&gt; Cubic Meters </v>
      </c>
      <c r="W293" t="s">
        <v>325</v>
      </c>
      <c r="X293" t="s">
        <v>238</v>
      </c>
      <c r="Y293">
        <v>0.004546092</v>
      </c>
    </row>
    <row r="294" spans="1:25" ht="15">
      <c r="A294" s="183" t="s">
        <v>165</v>
      </c>
      <c r="B294" s="339">
        <v>0.4062</v>
      </c>
      <c r="F294" s="330">
        <v>1.125</v>
      </c>
      <c r="G294" s="331" t="s">
        <v>187</v>
      </c>
      <c r="I294" s="330">
        <v>0.0225</v>
      </c>
      <c r="J294" s="331">
        <v>74</v>
      </c>
      <c r="V294" t="str">
        <f t="shared" si="4"/>
        <v>Gallon (U.K. liquid) &lt;&lt;&lt;&gt;&gt;&gt; Liters </v>
      </c>
      <c r="W294" t="s">
        <v>325</v>
      </c>
      <c r="X294" t="s">
        <v>239</v>
      </c>
      <c r="Y294">
        <v>4.546092</v>
      </c>
    </row>
    <row r="295" spans="2:25" ht="15">
      <c r="B295" s="339">
        <v>0.41300000000000003</v>
      </c>
      <c r="C295" s="340" t="s">
        <v>102</v>
      </c>
      <c r="F295" s="330">
        <v>1.1406</v>
      </c>
      <c r="G295" s="331" t="s">
        <v>190</v>
      </c>
      <c r="I295" s="330">
        <v>0.021</v>
      </c>
      <c r="J295" s="331">
        <v>75</v>
      </c>
      <c r="V295" t="str">
        <f t="shared" si="4"/>
        <v>Gallon (U.S. liquid) &lt;&lt;&lt;&gt;&gt;&gt; Cubic Meters </v>
      </c>
      <c r="W295" t="s">
        <v>394</v>
      </c>
      <c r="X295" t="s">
        <v>238</v>
      </c>
      <c r="Y295">
        <v>0.003785412</v>
      </c>
    </row>
    <row r="296" spans="2:25" ht="15">
      <c r="B296" s="339">
        <v>0.4134</v>
      </c>
      <c r="D296" s="1">
        <v>10.5</v>
      </c>
      <c r="F296" s="330">
        <v>1.1562</v>
      </c>
      <c r="G296" s="331" t="s">
        <v>192</v>
      </c>
      <c r="I296" s="330">
        <v>0.02</v>
      </c>
      <c r="J296" s="331">
        <v>76</v>
      </c>
      <c r="V296" t="str">
        <f t="shared" si="4"/>
        <v>Gallon (U.S. liquid) &lt;&lt;&lt;&gt;&gt;&gt; Liters </v>
      </c>
      <c r="W296" t="s">
        <v>394</v>
      </c>
      <c r="X296" t="s">
        <v>239</v>
      </c>
      <c r="Y296">
        <v>3.785412</v>
      </c>
    </row>
    <row r="297" spans="1:25" ht="15">
      <c r="A297" s="183" t="s">
        <v>169</v>
      </c>
      <c r="B297" s="339">
        <v>0.4219</v>
      </c>
      <c r="F297" s="330">
        <v>1.1719</v>
      </c>
      <c r="G297" s="331" t="s">
        <v>195</v>
      </c>
      <c r="I297" s="330">
        <v>0.018</v>
      </c>
      <c r="J297" s="331">
        <v>77</v>
      </c>
      <c r="V297" t="str">
        <f t="shared" si="4"/>
        <v>Gallons (liq. British imp.)  &lt;&lt;&lt;&gt;&gt;&gt; Gallons (US liq.) </v>
      </c>
      <c r="W297" t="s">
        <v>395</v>
      </c>
      <c r="X297" t="s">
        <v>307</v>
      </c>
      <c r="Y297">
        <v>1.20095</v>
      </c>
    </row>
    <row r="298" spans="2:25" ht="15">
      <c r="B298" s="339">
        <v>0.4331</v>
      </c>
      <c r="D298" s="1">
        <v>11</v>
      </c>
      <c r="F298" s="330">
        <v>1.1875</v>
      </c>
      <c r="G298" s="331" t="s">
        <v>199</v>
      </c>
      <c r="I298" s="330">
        <v>0.016</v>
      </c>
      <c r="J298" s="331">
        <v>78</v>
      </c>
      <c r="V298" t="str">
        <f t="shared" si="4"/>
        <v>Gallons (U.K. liquid) per Minute &lt;&lt;&lt;&gt;&gt;&gt; Cubic Meters per Minute</v>
      </c>
      <c r="W298" t="s">
        <v>327</v>
      </c>
      <c r="X298" t="s">
        <v>326</v>
      </c>
      <c r="Y298">
        <v>0.004546092</v>
      </c>
    </row>
    <row r="299" spans="1:25" ht="15">
      <c r="A299" s="183" t="s">
        <v>172</v>
      </c>
      <c r="B299" s="339">
        <v>0.4375</v>
      </c>
      <c r="F299" s="330">
        <v>1.2031</v>
      </c>
      <c r="G299" s="331" t="s">
        <v>203</v>
      </c>
      <c r="I299" s="330">
        <v>0.0156</v>
      </c>
      <c r="J299" s="331" t="s">
        <v>953</v>
      </c>
      <c r="V299" t="str">
        <f t="shared" si="4"/>
        <v>Gallons (U.K. liquid) per Minute &lt;&lt;&lt;&gt;&gt;&gt; Cubic Meters per Second</v>
      </c>
      <c r="W299" t="s">
        <v>327</v>
      </c>
      <c r="X299" t="s">
        <v>311</v>
      </c>
      <c r="Y299">
        <v>7.57682E-05</v>
      </c>
    </row>
    <row r="300" spans="2:25" ht="15">
      <c r="B300" s="339">
        <v>0.4528</v>
      </c>
      <c r="D300" s="1">
        <v>11.5</v>
      </c>
      <c r="F300" s="330">
        <v>1.2188</v>
      </c>
      <c r="G300" s="331" t="s">
        <v>205</v>
      </c>
      <c r="I300" s="330">
        <v>0.0145</v>
      </c>
      <c r="J300" s="331">
        <v>79</v>
      </c>
      <c r="V300" t="str">
        <f t="shared" si="4"/>
        <v>Gallons (U.S. liquid) per Minute &lt;&lt;&lt;&gt;&gt;&gt; Cubic Meters per Minute</v>
      </c>
      <c r="W300" t="s">
        <v>328</v>
      </c>
      <c r="X300" t="s">
        <v>326</v>
      </c>
      <c r="Y300">
        <v>0.003785412</v>
      </c>
    </row>
    <row r="301" spans="1:25" ht="15">
      <c r="A301" s="183" t="s">
        <v>175</v>
      </c>
      <c r="B301" s="339">
        <v>0.4531</v>
      </c>
      <c r="F301" s="330">
        <v>1.2344</v>
      </c>
      <c r="G301" s="331" t="s">
        <v>208</v>
      </c>
      <c r="I301" s="330">
        <v>0.0135</v>
      </c>
      <c r="J301" s="331">
        <v>80</v>
      </c>
      <c r="V301" t="str">
        <f t="shared" si="4"/>
        <v>Gallons (U.S. liquid) per Minute &lt;&lt;&lt;&gt;&gt;&gt; Cubic Meters per Second</v>
      </c>
      <c r="W301" t="s">
        <v>328</v>
      </c>
      <c r="X301" t="s">
        <v>311</v>
      </c>
      <c r="Y301">
        <v>6.30902E-05</v>
      </c>
    </row>
    <row r="302" spans="1:25" ht="15">
      <c r="A302" s="183" t="s">
        <v>178</v>
      </c>
      <c r="B302" s="339">
        <v>0.4688</v>
      </c>
      <c r="F302" s="330">
        <v>1.25</v>
      </c>
      <c r="G302" s="331" t="s">
        <v>210</v>
      </c>
      <c r="I302" s="330">
        <v>0.013</v>
      </c>
      <c r="J302" s="331">
        <v>81</v>
      </c>
      <c r="V302" t="str">
        <f t="shared" si="4"/>
        <v>Gallons (U.S. liquid) per Minute &lt;&lt;&lt;&gt;&gt;&gt; Liters per Minute</v>
      </c>
      <c r="W302" t="s">
        <v>328</v>
      </c>
      <c r="X302" t="s">
        <v>312</v>
      </c>
      <c r="Y302">
        <v>3.785412</v>
      </c>
    </row>
    <row r="303" spans="2:25" ht="15">
      <c r="B303" s="339">
        <v>0.4724</v>
      </c>
      <c r="D303" s="1">
        <v>12</v>
      </c>
      <c r="F303" s="330">
        <v>1.2656</v>
      </c>
      <c r="G303" s="331" t="s">
        <v>213</v>
      </c>
      <c r="I303" s="330">
        <v>0.0125</v>
      </c>
      <c r="J303" s="331">
        <v>82</v>
      </c>
      <c r="V303" t="str">
        <f t="shared" si="4"/>
        <v>Gallons (U.S. liquid) per Minute &lt;&lt;&lt;&gt;&gt;&gt; Liters per Second</v>
      </c>
      <c r="W303" t="s">
        <v>328</v>
      </c>
      <c r="X303" t="s">
        <v>396</v>
      </c>
      <c r="Y303">
        <v>0.0630902</v>
      </c>
    </row>
    <row r="304" spans="1:25" ht="15">
      <c r="A304" s="183" t="s">
        <v>182</v>
      </c>
      <c r="B304" s="339">
        <v>0.4844</v>
      </c>
      <c r="F304" s="330">
        <v>1.2812</v>
      </c>
      <c r="G304" s="331" t="s">
        <v>217</v>
      </c>
      <c r="I304" s="330">
        <v>0.012</v>
      </c>
      <c r="J304" s="331">
        <v>83</v>
      </c>
      <c r="V304" t="str">
        <f t="shared" si="4"/>
        <v>Gallons (US)  &lt;&lt;&lt;&gt;&gt;&gt; Gallons (imp.) </v>
      </c>
      <c r="W304" t="s">
        <v>397</v>
      </c>
      <c r="X304" t="s">
        <v>398</v>
      </c>
      <c r="Y304">
        <v>0.83267</v>
      </c>
    </row>
    <row r="305" spans="2:25" ht="15">
      <c r="B305" s="339">
        <v>0.4921</v>
      </c>
      <c r="D305" s="1">
        <v>12.5</v>
      </c>
      <c r="F305" s="330">
        <v>1.2969</v>
      </c>
      <c r="G305" s="331" t="s">
        <v>219</v>
      </c>
      <c r="I305" s="330">
        <v>0.0115</v>
      </c>
      <c r="J305" s="331">
        <v>84</v>
      </c>
      <c r="V305" t="str">
        <f t="shared" si="4"/>
        <v>Gallons/Minute  &lt;&lt;&lt;&gt;&gt;&gt; Cubic Feet/Hour </v>
      </c>
      <c r="W305" t="s">
        <v>319</v>
      </c>
      <c r="X305" t="s">
        <v>399</v>
      </c>
      <c r="Y305">
        <v>8.0208</v>
      </c>
    </row>
    <row r="306" spans="1:25" ht="15">
      <c r="A306" s="183" t="s">
        <v>185</v>
      </c>
      <c r="B306" s="339">
        <v>0.5</v>
      </c>
      <c r="F306" s="330">
        <v>1.3125</v>
      </c>
      <c r="G306" s="331" t="s">
        <v>222</v>
      </c>
      <c r="I306" s="330">
        <v>0.011</v>
      </c>
      <c r="J306" s="331">
        <v>85</v>
      </c>
      <c r="V306" t="str">
        <f t="shared" si="4"/>
        <v>Gallons/Minute  &lt;&lt;&lt;&gt;&gt;&gt; Cubic Feet/Second </v>
      </c>
      <c r="W306" t="s">
        <v>319</v>
      </c>
      <c r="X306" t="s">
        <v>318</v>
      </c>
      <c r="Y306">
        <v>0.002228</v>
      </c>
    </row>
    <row r="307" spans="2:25" ht="15">
      <c r="B307" s="339">
        <v>0.5118</v>
      </c>
      <c r="D307" s="1">
        <v>13</v>
      </c>
      <c r="F307" s="330">
        <v>1.3281</v>
      </c>
      <c r="G307" s="331" t="s">
        <v>224</v>
      </c>
      <c r="I307" s="330">
        <v>0.0105</v>
      </c>
      <c r="J307" s="331">
        <v>86</v>
      </c>
      <c r="V307" t="str">
        <f t="shared" si="4"/>
        <v>Gallons/Minute  &lt;&lt;&lt;&gt;&gt;&gt; Liters/Second </v>
      </c>
      <c r="W307" t="s">
        <v>319</v>
      </c>
      <c r="X307" t="s">
        <v>316</v>
      </c>
      <c r="Y307">
        <v>0.6308</v>
      </c>
    </row>
    <row r="308" spans="1:25" ht="15">
      <c r="A308" s="183" t="s">
        <v>189</v>
      </c>
      <c r="B308" s="339">
        <v>0.5156</v>
      </c>
      <c r="F308" s="330">
        <v>1.3438</v>
      </c>
      <c r="G308" s="331" t="s">
        <v>919</v>
      </c>
      <c r="I308" s="330">
        <v>0.01</v>
      </c>
      <c r="J308" s="331">
        <v>87</v>
      </c>
      <c r="V308" t="str">
        <f t="shared" si="4"/>
        <v>Gilberts  &lt;&lt;&lt;&gt;&gt;&gt; Ampere-turns </v>
      </c>
      <c r="W308" t="s">
        <v>1106</v>
      </c>
      <c r="X308" t="s">
        <v>1105</v>
      </c>
      <c r="Y308">
        <v>0.7958</v>
      </c>
    </row>
    <row r="309" spans="1:25" ht="15">
      <c r="A309" s="183" t="s">
        <v>191</v>
      </c>
      <c r="B309" s="339">
        <v>0.5312</v>
      </c>
      <c r="F309" s="330">
        <v>1.3594</v>
      </c>
      <c r="G309" s="331" t="s">
        <v>923</v>
      </c>
      <c r="I309" s="330">
        <v>0.0095</v>
      </c>
      <c r="J309" s="331">
        <v>88</v>
      </c>
      <c r="V309" t="str">
        <f t="shared" si="4"/>
        <v>Gilberts/Centimeters  &lt;&lt;&lt;&gt;&gt;&gt; amp-turns/Centimeters </v>
      </c>
      <c r="W309" t="s">
        <v>400</v>
      </c>
      <c r="X309" t="s">
        <v>401</v>
      </c>
      <c r="Y309">
        <v>0.7958</v>
      </c>
    </row>
    <row r="310" spans="2:25" ht="15">
      <c r="B310" s="339">
        <v>0.5315</v>
      </c>
      <c r="D310" s="1">
        <v>13.5</v>
      </c>
      <c r="F310" s="330">
        <v>1.375</v>
      </c>
      <c r="G310" s="331" t="s">
        <v>925</v>
      </c>
      <c r="I310" s="330">
        <v>0.0091</v>
      </c>
      <c r="J310" s="331">
        <v>89</v>
      </c>
      <c r="V310" t="str">
        <f t="shared" si="4"/>
        <v>Gilberts/Centimeters  &lt;&lt;&lt;&gt;&gt;&gt; amp-turns/in </v>
      </c>
      <c r="W310" t="s">
        <v>400</v>
      </c>
      <c r="X310" t="s">
        <v>402</v>
      </c>
      <c r="Y310">
        <v>2.021</v>
      </c>
    </row>
    <row r="311" spans="1:25" ht="15">
      <c r="A311" s="183" t="s">
        <v>193</v>
      </c>
      <c r="B311" s="339">
        <v>0.5469</v>
      </c>
      <c r="F311" s="330">
        <v>1.3906</v>
      </c>
      <c r="G311" s="331" t="s">
        <v>928</v>
      </c>
      <c r="I311" s="330">
        <v>0.0087</v>
      </c>
      <c r="J311" s="331">
        <v>90</v>
      </c>
      <c r="V311" t="str">
        <f t="shared" si="4"/>
        <v>Gilberts/Centimeters  &lt;&lt;&lt;&gt;&gt;&gt; amp-turns/Meter </v>
      </c>
      <c r="W311" t="s">
        <v>400</v>
      </c>
      <c r="X311" t="s">
        <v>403</v>
      </c>
      <c r="Y311">
        <v>79.581</v>
      </c>
    </row>
    <row r="312" spans="2:25" ht="15">
      <c r="B312" s="339">
        <v>0.5512</v>
      </c>
      <c r="D312" s="1">
        <v>14</v>
      </c>
      <c r="F312" s="330">
        <v>1.4062</v>
      </c>
      <c r="G312" s="331" t="s">
        <v>931</v>
      </c>
      <c r="I312" s="330">
        <v>0.0083</v>
      </c>
      <c r="J312" s="331">
        <v>91</v>
      </c>
      <c r="V312" t="str">
        <f t="shared" si="4"/>
        <v>Gills  &lt;&lt;&lt;&gt;&gt;&gt; Liters </v>
      </c>
      <c r="W312" t="s">
        <v>404</v>
      </c>
      <c r="X312" t="s">
        <v>239</v>
      </c>
      <c r="Y312">
        <v>0.1183</v>
      </c>
    </row>
    <row r="313" spans="1:25" ht="15">
      <c r="A313" s="183" t="s">
        <v>196</v>
      </c>
      <c r="B313" s="339">
        <v>0.5625</v>
      </c>
      <c r="F313" s="330">
        <v>1.4219</v>
      </c>
      <c r="G313" s="331" t="s">
        <v>934</v>
      </c>
      <c r="I313" s="330">
        <v>0.0079</v>
      </c>
      <c r="J313" s="331">
        <v>92</v>
      </c>
      <c r="V313" t="str">
        <f t="shared" si="4"/>
        <v>Gills  &lt;&lt;&lt;&gt;&gt;&gt; Pints (liq.) </v>
      </c>
      <c r="W313" t="s">
        <v>404</v>
      </c>
      <c r="X313" t="s">
        <v>405</v>
      </c>
      <c r="Y313">
        <v>0.25</v>
      </c>
    </row>
    <row r="314" spans="2:25" ht="15">
      <c r="B314" s="339">
        <v>0.5709</v>
      </c>
      <c r="D314" s="1">
        <v>14.5</v>
      </c>
      <c r="F314" s="330">
        <v>1.4375</v>
      </c>
      <c r="G314" s="331" t="s">
        <v>936</v>
      </c>
      <c r="I314" s="330">
        <v>0.0075</v>
      </c>
      <c r="J314" s="331">
        <v>93</v>
      </c>
      <c r="V314" t="str">
        <f t="shared" si="4"/>
        <v>Gills (British)  &lt;&lt;&lt;&gt;&gt;&gt; Cubic cm </v>
      </c>
      <c r="W314" t="s">
        <v>406</v>
      </c>
      <c r="X314" t="s">
        <v>407</v>
      </c>
      <c r="Y314">
        <v>142.07</v>
      </c>
    </row>
    <row r="315" spans="1:25" ht="15">
      <c r="A315" s="183" t="s">
        <v>200</v>
      </c>
      <c r="B315" s="339">
        <v>0.5781</v>
      </c>
      <c r="F315" s="330">
        <v>1.4531</v>
      </c>
      <c r="G315" s="331" t="s">
        <v>941</v>
      </c>
      <c r="I315" s="330">
        <v>0.0071</v>
      </c>
      <c r="J315" s="331">
        <v>94</v>
      </c>
      <c r="V315" t="str">
        <f t="shared" si="4"/>
        <v>Grains (1/7000 lb. avoirdupois) &lt;&lt;&lt;&gt;&gt;&gt; Grams</v>
      </c>
      <c r="W315" t="s">
        <v>408</v>
      </c>
      <c r="X315" t="s">
        <v>78</v>
      </c>
      <c r="Y315">
        <v>0.06479891</v>
      </c>
    </row>
    <row r="316" spans="2:25" ht="15">
      <c r="B316" s="339">
        <v>0.5906</v>
      </c>
      <c r="D316" s="1">
        <v>15</v>
      </c>
      <c r="F316" s="330">
        <v>1.4688</v>
      </c>
      <c r="G316" s="331" t="s">
        <v>944</v>
      </c>
      <c r="I316" s="330">
        <v>0.0067</v>
      </c>
      <c r="J316" s="331">
        <v>95</v>
      </c>
      <c r="V316" t="str">
        <f t="shared" si="4"/>
        <v>Grains (troy)  &lt;&lt;&lt;&gt;&gt;&gt; Grains (avoirdupois) </v>
      </c>
      <c r="W316" t="s">
        <v>409</v>
      </c>
      <c r="X316" t="s">
        <v>410</v>
      </c>
      <c r="Y316">
        <v>1</v>
      </c>
    </row>
    <row r="317" spans="1:25" ht="15">
      <c r="A317" s="183" t="s">
        <v>204</v>
      </c>
      <c r="B317" s="339">
        <v>0.5938</v>
      </c>
      <c r="F317" s="330">
        <v>1.4844</v>
      </c>
      <c r="G317" s="331" t="s">
        <v>946</v>
      </c>
      <c r="I317" s="330">
        <v>0.0063</v>
      </c>
      <c r="J317" s="331">
        <v>96</v>
      </c>
      <c r="V317" t="str">
        <f t="shared" si="4"/>
        <v>Grains (troy)  &lt;&lt;&lt;&gt;&gt;&gt; Grams </v>
      </c>
      <c r="W317" t="s">
        <v>409</v>
      </c>
      <c r="X317" t="s">
        <v>254</v>
      </c>
      <c r="Y317">
        <v>0.0648</v>
      </c>
    </row>
    <row r="318" spans="1:25" ht="15">
      <c r="A318" s="183" t="s">
        <v>207</v>
      </c>
      <c r="B318" s="339">
        <v>0.6094</v>
      </c>
      <c r="F318" s="330">
        <v>1.5</v>
      </c>
      <c r="G318" s="331" t="s">
        <v>949</v>
      </c>
      <c r="I318" s="330">
        <v>0.0059</v>
      </c>
      <c r="J318" s="331">
        <v>97</v>
      </c>
      <c r="V318" t="str">
        <f t="shared" si="4"/>
        <v>Grains (troy)  &lt;&lt;&lt;&gt;&gt;&gt; Ounces (avoirdupois) </v>
      </c>
      <c r="W318" t="s">
        <v>409</v>
      </c>
      <c r="X318" t="s">
        <v>411</v>
      </c>
      <c r="Y318">
        <v>0.0020833</v>
      </c>
    </row>
    <row r="319" spans="2:25" ht="15">
      <c r="B319" s="339">
        <v>0.6102</v>
      </c>
      <c r="D319" s="1">
        <v>15.5</v>
      </c>
      <c r="V319" t="str">
        <f t="shared" si="4"/>
        <v>Grains (troy)  &lt;&lt;&lt;&gt;&gt;&gt; Pennyweight (troy) </v>
      </c>
      <c r="W319" t="s">
        <v>409</v>
      </c>
      <c r="X319" t="s">
        <v>412</v>
      </c>
      <c r="Y319">
        <v>0.04167</v>
      </c>
    </row>
    <row r="320" spans="1:25" ht="15">
      <c r="A320" s="183" t="s">
        <v>209</v>
      </c>
      <c r="B320" s="339">
        <v>0.625</v>
      </c>
      <c r="V320" t="str">
        <f t="shared" si="4"/>
        <v>Grams &lt;&lt;&lt;&gt;&gt;&gt; Dynes</v>
      </c>
      <c r="W320" t="s">
        <v>78</v>
      </c>
      <c r="X320" t="s">
        <v>358</v>
      </c>
      <c r="Y320">
        <v>980.7</v>
      </c>
    </row>
    <row r="321" spans="2:25" ht="15">
      <c r="B321" s="339">
        <v>0.6299</v>
      </c>
      <c r="D321" s="1">
        <v>16</v>
      </c>
      <c r="V321" t="str">
        <f t="shared" si="4"/>
        <v>Grams &lt;&lt;&lt;&gt;&gt;&gt; Grains</v>
      </c>
      <c r="W321" t="s">
        <v>78</v>
      </c>
      <c r="X321" t="s">
        <v>413</v>
      </c>
      <c r="Y321">
        <v>15.43236</v>
      </c>
    </row>
    <row r="322" spans="1:25" ht="15">
      <c r="A322" s="183" t="s">
        <v>211</v>
      </c>
      <c r="B322" s="339">
        <v>0.6406</v>
      </c>
      <c r="V322" t="str">
        <f t="shared" si="4"/>
        <v>Grams &lt;&lt;&lt;&gt;&gt;&gt; Kilograms (kg)</v>
      </c>
      <c r="W322" t="s">
        <v>78</v>
      </c>
      <c r="X322" t="s">
        <v>414</v>
      </c>
      <c r="Y322">
        <v>0.001</v>
      </c>
    </row>
    <row r="323" spans="2:25" ht="15">
      <c r="B323" s="339">
        <v>0.6496</v>
      </c>
      <c r="D323" s="1">
        <v>16.5</v>
      </c>
      <c r="V323" t="str">
        <f aca="true" t="shared" si="5" ref="V323:V386">IF(W323="","",W323&amp;" &lt;&lt;&lt;&gt;&gt;&gt; "&amp;X323)</f>
        <v>Grams &lt;&lt;&lt;&gt;&gt;&gt; Ounces (avoirdupois)</v>
      </c>
      <c r="W323" t="s">
        <v>78</v>
      </c>
      <c r="X323" t="s">
        <v>415</v>
      </c>
      <c r="Y323">
        <v>0.03527397</v>
      </c>
    </row>
    <row r="324" spans="1:25" ht="15">
      <c r="A324" s="183" t="s">
        <v>215</v>
      </c>
      <c r="B324" s="339">
        <v>0.6562</v>
      </c>
      <c r="V324" t="str">
        <f t="shared" si="5"/>
        <v>Grams &lt;&lt;&lt;&gt;&gt;&gt; Ounces (troy)</v>
      </c>
      <c r="W324" t="s">
        <v>78</v>
      </c>
      <c r="X324" t="s">
        <v>416</v>
      </c>
      <c r="Y324">
        <v>0.03215074</v>
      </c>
    </row>
    <row r="325" spans="2:25" ht="15">
      <c r="B325" s="339">
        <v>0.6693</v>
      </c>
      <c r="D325" s="1">
        <v>17</v>
      </c>
      <c r="V325" t="str">
        <f t="shared" si="5"/>
        <v>Grams  &lt;&lt;&lt;&gt;&gt;&gt; Carat(metric) </v>
      </c>
      <c r="W325" t="s">
        <v>254</v>
      </c>
      <c r="X325" t="s">
        <v>417</v>
      </c>
      <c r="Y325">
        <v>5</v>
      </c>
    </row>
    <row r="326" spans="1:25" ht="15">
      <c r="A326" s="183" t="s">
        <v>218</v>
      </c>
      <c r="B326" s="339">
        <v>0.6719</v>
      </c>
      <c r="V326" t="str">
        <f t="shared" si="5"/>
        <v>Grams  &lt;&lt;&lt;&gt;&gt;&gt; Dram </v>
      </c>
      <c r="W326" t="s">
        <v>254</v>
      </c>
      <c r="X326" t="s">
        <v>418</v>
      </c>
      <c r="Y326">
        <v>0.56438339</v>
      </c>
    </row>
    <row r="327" spans="1:25" ht="15">
      <c r="A327" s="183" t="s">
        <v>220</v>
      </c>
      <c r="B327" s="339">
        <v>0.6875</v>
      </c>
      <c r="V327" t="str">
        <f t="shared" si="5"/>
        <v>Grams  &lt;&lt;&lt;&gt;&gt;&gt; Dynes </v>
      </c>
      <c r="W327" t="s">
        <v>254</v>
      </c>
      <c r="X327" t="s">
        <v>363</v>
      </c>
      <c r="Y327">
        <v>980.7</v>
      </c>
    </row>
    <row r="328" spans="2:25" ht="15">
      <c r="B328" s="339">
        <v>0.6890000000000001</v>
      </c>
      <c r="D328" s="1">
        <v>17.5</v>
      </c>
      <c r="V328" t="str">
        <f t="shared" si="5"/>
        <v>Grams  &lt;&lt;&lt;&gt;&gt;&gt; Grains </v>
      </c>
      <c r="W328" t="s">
        <v>254</v>
      </c>
      <c r="X328" t="s">
        <v>341</v>
      </c>
      <c r="Y328">
        <v>15.43</v>
      </c>
    </row>
    <row r="329" spans="1:25" ht="15">
      <c r="A329" s="183" t="s">
        <v>223</v>
      </c>
      <c r="B329" s="339">
        <v>0.7031</v>
      </c>
      <c r="V329" t="str">
        <f t="shared" si="5"/>
        <v>Grams  &lt;&lt;&lt;&gt;&gt;&gt; Joules/cm </v>
      </c>
      <c r="W329" t="s">
        <v>254</v>
      </c>
      <c r="X329" t="s">
        <v>419</v>
      </c>
      <c r="Y329">
        <v>9.81E-05</v>
      </c>
    </row>
    <row r="330" spans="2:25" ht="15">
      <c r="B330" s="339">
        <v>0.7087</v>
      </c>
      <c r="D330" s="1">
        <v>18</v>
      </c>
      <c r="V330" t="str">
        <f t="shared" si="5"/>
        <v>Grams  &lt;&lt;&lt;&gt;&gt;&gt; Joules/meter (newtons) </v>
      </c>
      <c r="W330" t="s">
        <v>254</v>
      </c>
      <c r="X330" t="s">
        <v>420</v>
      </c>
      <c r="Y330">
        <v>0.00981</v>
      </c>
    </row>
    <row r="331" spans="1:25" ht="15">
      <c r="A331" s="183" t="s">
        <v>918</v>
      </c>
      <c r="B331" s="339">
        <v>0.7188</v>
      </c>
      <c r="V331" t="str">
        <f t="shared" si="5"/>
        <v>Grams  &lt;&lt;&lt;&gt;&gt;&gt; Kilograms </v>
      </c>
      <c r="W331" t="s">
        <v>254</v>
      </c>
      <c r="X331" t="s">
        <v>364</v>
      </c>
      <c r="Y331">
        <v>0.001</v>
      </c>
    </row>
    <row r="332" spans="2:25" ht="15">
      <c r="B332" s="339">
        <v>0.7283</v>
      </c>
      <c r="D332" s="1">
        <v>18.5</v>
      </c>
      <c r="V332" t="str">
        <f t="shared" si="5"/>
        <v>Grams  &lt;&lt;&lt;&gt;&gt;&gt; Milligrams </v>
      </c>
      <c r="W332" t="s">
        <v>254</v>
      </c>
      <c r="X332" t="s">
        <v>421</v>
      </c>
      <c r="Y332">
        <v>1000</v>
      </c>
    </row>
    <row r="333" spans="1:25" ht="15">
      <c r="A333" s="183" t="s">
        <v>921</v>
      </c>
      <c r="B333" s="339">
        <v>0.7344</v>
      </c>
      <c r="V333" t="str">
        <f t="shared" si="5"/>
        <v>Grams  &lt;&lt;&lt;&gt;&gt;&gt; Ounces (troy) </v>
      </c>
      <c r="W333" t="s">
        <v>254</v>
      </c>
      <c r="X333" t="s">
        <v>344</v>
      </c>
      <c r="Y333">
        <v>0.032150747</v>
      </c>
    </row>
    <row r="334" spans="2:25" ht="15">
      <c r="B334" s="339">
        <v>0.748</v>
      </c>
      <c r="D334" s="1">
        <v>19</v>
      </c>
      <c r="V334" t="str">
        <f t="shared" si="5"/>
        <v>Grams  &lt;&lt;&lt;&gt;&gt;&gt; Ounces(avoirdupois) </v>
      </c>
      <c r="W334" t="s">
        <v>254</v>
      </c>
      <c r="X334" t="s">
        <v>422</v>
      </c>
      <c r="Y334">
        <v>0.035273962</v>
      </c>
    </row>
    <row r="335" spans="1:25" ht="15">
      <c r="A335" s="183" t="s">
        <v>924</v>
      </c>
      <c r="B335" s="339">
        <v>0.75</v>
      </c>
      <c r="V335" t="str">
        <f t="shared" si="5"/>
        <v>Grams  &lt;&lt;&lt;&gt;&gt;&gt; Poundals </v>
      </c>
      <c r="W335" t="s">
        <v>254</v>
      </c>
      <c r="X335" t="s">
        <v>365</v>
      </c>
      <c r="Y335">
        <v>0.07093</v>
      </c>
    </row>
    <row r="336" spans="1:25" ht="15">
      <c r="A336" s="183" t="s">
        <v>927</v>
      </c>
      <c r="B336" s="339">
        <v>0.7656</v>
      </c>
      <c r="V336" t="str">
        <f t="shared" si="5"/>
        <v>Grams  &lt;&lt;&lt;&gt;&gt;&gt; Pounds </v>
      </c>
      <c r="W336" t="s">
        <v>254</v>
      </c>
      <c r="X336" t="s">
        <v>366</v>
      </c>
      <c r="Y336">
        <v>0.002204623</v>
      </c>
    </row>
    <row r="337" spans="2:25" ht="15">
      <c r="B337" s="339">
        <v>0.7677</v>
      </c>
      <c r="D337" s="1">
        <v>19.5</v>
      </c>
      <c r="V337" t="str">
        <f t="shared" si="5"/>
        <v>Grams per Cubic Centimeter &lt;&lt;&lt;&gt;&gt;&gt; Pounds per Cubic Inch</v>
      </c>
      <c r="W337" t="s">
        <v>423</v>
      </c>
      <c r="X337" t="s">
        <v>424</v>
      </c>
      <c r="Y337">
        <v>0.0361273</v>
      </c>
    </row>
    <row r="338" spans="1:25" ht="15">
      <c r="A338" s="183" t="s">
        <v>930</v>
      </c>
      <c r="B338" s="339">
        <v>0.7812</v>
      </c>
      <c r="V338" t="str">
        <f t="shared" si="5"/>
        <v>Grams/cm  &lt;&lt;&lt;&gt;&gt;&gt; Pounds/Inch </v>
      </c>
      <c r="W338" t="s">
        <v>425</v>
      </c>
      <c r="X338" t="s">
        <v>426</v>
      </c>
      <c r="Y338">
        <v>0.0056</v>
      </c>
    </row>
    <row r="339" spans="2:25" ht="15">
      <c r="B339" s="339">
        <v>0.7874</v>
      </c>
      <c r="D339" s="1">
        <v>20</v>
      </c>
      <c r="V339" t="str">
        <f t="shared" si="5"/>
        <v>Grams/cu. cm  &lt;&lt;&lt;&gt;&gt;&gt; Pounds/cu. Foot </v>
      </c>
      <c r="W339" t="s">
        <v>427</v>
      </c>
      <c r="X339" t="s">
        <v>428</v>
      </c>
      <c r="Y339">
        <v>62.43</v>
      </c>
    </row>
    <row r="340" spans="1:25" ht="15">
      <c r="A340" s="183" t="s">
        <v>932</v>
      </c>
      <c r="B340" s="339">
        <v>0.7969</v>
      </c>
      <c r="V340" t="str">
        <f t="shared" si="5"/>
        <v>Grams/cu. cm  &lt;&lt;&lt;&gt;&gt;&gt; Pounds/cu. Inch </v>
      </c>
      <c r="W340" t="s">
        <v>427</v>
      </c>
      <c r="X340" t="s">
        <v>429</v>
      </c>
      <c r="Y340">
        <v>0.03613</v>
      </c>
    </row>
    <row r="341" spans="2:25" ht="15">
      <c r="B341" s="339">
        <v>0.8071</v>
      </c>
      <c r="D341" s="1">
        <v>20.5</v>
      </c>
      <c r="V341" t="str">
        <f t="shared" si="5"/>
        <v>Hand &lt;&lt;&lt;&gt;&gt;&gt; Centimeters</v>
      </c>
      <c r="W341" t="s">
        <v>430</v>
      </c>
      <c r="X341" t="s">
        <v>60</v>
      </c>
      <c r="Y341">
        <v>10.16</v>
      </c>
    </row>
    <row r="342" spans="1:25" ht="15">
      <c r="A342" s="183" t="s">
        <v>935</v>
      </c>
      <c r="B342" s="339">
        <v>0.8125</v>
      </c>
      <c r="V342" t="str">
        <f t="shared" si="5"/>
        <v>Hectares  &lt;&lt;&lt;&gt;&gt;&gt; Acres </v>
      </c>
      <c r="W342" t="s">
        <v>431</v>
      </c>
      <c r="X342" t="s">
        <v>1097</v>
      </c>
      <c r="Y342">
        <v>2.471054</v>
      </c>
    </row>
    <row r="343" spans="2:25" ht="15">
      <c r="B343" s="339">
        <v>0.8268</v>
      </c>
      <c r="D343" s="1">
        <v>21</v>
      </c>
      <c r="V343" t="str">
        <f t="shared" si="5"/>
        <v>Hectares  &lt;&lt;&lt;&gt;&gt;&gt; Square Feet </v>
      </c>
      <c r="W343" t="s">
        <v>431</v>
      </c>
      <c r="X343" t="s">
        <v>1096</v>
      </c>
      <c r="Y343">
        <v>107600</v>
      </c>
    </row>
    <row r="344" spans="1:25" ht="15">
      <c r="A344" s="183" t="s">
        <v>940</v>
      </c>
      <c r="B344" s="339">
        <v>0.8281</v>
      </c>
      <c r="V344" t="str">
        <f t="shared" si="5"/>
        <v>Hectograms  &lt;&lt;&lt;&gt;&gt;&gt; Grams </v>
      </c>
      <c r="W344" t="s">
        <v>432</v>
      </c>
      <c r="X344" t="s">
        <v>254</v>
      </c>
      <c r="Y344">
        <v>100</v>
      </c>
    </row>
    <row r="345" spans="1:25" ht="15">
      <c r="A345" s="183" t="s">
        <v>942</v>
      </c>
      <c r="B345" s="339">
        <v>0.8438</v>
      </c>
      <c r="V345" t="str">
        <f t="shared" si="5"/>
        <v>Hectoliters  &lt;&lt;&lt;&gt;&gt;&gt; Liters </v>
      </c>
      <c r="W345" t="s">
        <v>433</v>
      </c>
      <c r="X345" t="s">
        <v>239</v>
      </c>
      <c r="Y345">
        <v>100</v>
      </c>
    </row>
    <row r="346" spans="2:25" ht="15">
      <c r="B346" s="339">
        <v>0.8465</v>
      </c>
      <c r="D346" s="1">
        <v>21.5</v>
      </c>
      <c r="V346" t="str">
        <f t="shared" si="5"/>
        <v>Hectometers &lt;&lt;&lt;&gt;&gt;&gt; Meters</v>
      </c>
      <c r="W346" t="s">
        <v>434</v>
      </c>
      <c r="X346" t="s">
        <v>64</v>
      </c>
      <c r="Y346">
        <v>100</v>
      </c>
    </row>
    <row r="347" spans="1:25" ht="15">
      <c r="A347" s="183" t="s">
        <v>945</v>
      </c>
      <c r="B347" s="339">
        <v>0.8594</v>
      </c>
      <c r="V347" t="str">
        <f t="shared" si="5"/>
        <v>hectowatts  &lt;&lt;&lt;&gt;&gt;&gt; Watts </v>
      </c>
      <c r="W347" t="s">
        <v>435</v>
      </c>
      <c r="X347" t="s">
        <v>229</v>
      </c>
      <c r="Y347">
        <v>100</v>
      </c>
    </row>
    <row r="348" spans="2:25" ht="15">
      <c r="B348" s="339">
        <v>0.8661</v>
      </c>
      <c r="D348" s="1">
        <v>22</v>
      </c>
      <c r="V348" t="str">
        <f t="shared" si="5"/>
        <v>Hogsheads (British)  &lt;&lt;&lt;&gt;&gt;&gt; Cubic Feet </v>
      </c>
      <c r="W348" t="s">
        <v>436</v>
      </c>
      <c r="X348" t="s">
        <v>1093</v>
      </c>
      <c r="Y348">
        <v>10.114</v>
      </c>
    </row>
    <row r="349" spans="1:25" ht="15">
      <c r="A349" s="183" t="s">
        <v>947</v>
      </c>
      <c r="B349" s="339">
        <v>0.875</v>
      </c>
      <c r="V349" t="str">
        <f t="shared" si="5"/>
        <v>Hogsheads (U.S.)  &lt;&lt;&lt;&gt;&gt;&gt; Cubic Feet </v>
      </c>
      <c r="W349" t="s">
        <v>437</v>
      </c>
      <c r="X349" t="s">
        <v>1093</v>
      </c>
      <c r="Y349">
        <v>8.42184</v>
      </c>
    </row>
    <row r="350" spans="2:25" ht="15">
      <c r="B350" s="339">
        <v>0.8858</v>
      </c>
      <c r="D350" s="1">
        <v>22.5</v>
      </c>
      <c r="V350" t="str">
        <f t="shared" si="5"/>
        <v>Hogsheads (U.S.)  &lt;&lt;&lt;&gt;&gt;&gt; Gallons (U.S.) </v>
      </c>
      <c r="W350" t="s">
        <v>437</v>
      </c>
      <c r="X350" t="s">
        <v>438</v>
      </c>
      <c r="Y350">
        <v>63</v>
      </c>
    </row>
    <row r="351" spans="1:25" ht="15">
      <c r="A351" s="183" t="s">
        <v>950</v>
      </c>
      <c r="B351" s="339">
        <v>0.8906</v>
      </c>
      <c r="V351" t="str">
        <f t="shared" si="5"/>
        <v>HorsePower  &lt;&lt;&lt;&gt;&gt;&gt; BTU/Minute </v>
      </c>
      <c r="W351" t="s">
        <v>232</v>
      </c>
      <c r="X351" t="s">
        <v>230</v>
      </c>
      <c r="Y351">
        <v>42.44</v>
      </c>
    </row>
    <row r="352" spans="2:25" ht="15">
      <c r="B352" s="339">
        <v>0.9055</v>
      </c>
      <c r="D352" s="1">
        <v>23</v>
      </c>
      <c r="V352" t="str">
        <f t="shared" si="5"/>
        <v>HorsePower  &lt;&lt;&lt;&gt;&gt;&gt; Foot-lbs/Minute </v>
      </c>
      <c r="W352" t="s">
        <v>232</v>
      </c>
      <c r="X352" t="s">
        <v>439</v>
      </c>
      <c r="Y352">
        <v>33000</v>
      </c>
    </row>
    <row r="353" spans="1:25" ht="15">
      <c r="A353" s="183" t="s">
        <v>146</v>
      </c>
      <c r="B353" s="339">
        <v>0.9062</v>
      </c>
      <c r="V353" t="str">
        <f t="shared" si="5"/>
        <v>HorsePower  &lt;&lt;&lt;&gt;&gt;&gt; Foot-lbs/Second </v>
      </c>
      <c r="W353" t="s">
        <v>232</v>
      </c>
      <c r="X353" t="s">
        <v>231</v>
      </c>
      <c r="Y353">
        <v>550</v>
      </c>
    </row>
    <row r="354" spans="1:25" ht="15">
      <c r="A354" s="183" t="s">
        <v>149</v>
      </c>
      <c r="B354" s="339">
        <v>0.9219</v>
      </c>
      <c r="V354" t="str">
        <f t="shared" si="5"/>
        <v>HorsePower  &lt;&lt;&lt;&gt;&gt;&gt; Kilogram-Calories/Minute </v>
      </c>
      <c r="W354" t="s">
        <v>232</v>
      </c>
      <c r="X354" t="s">
        <v>440</v>
      </c>
      <c r="Y354">
        <v>10.68</v>
      </c>
    </row>
    <row r="355" spans="2:25" ht="15">
      <c r="B355" s="339">
        <v>0.9252</v>
      </c>
      <c r="D355" s="1">
        <v>23.5</v>
      </c>
      <c r="V355" t="str">
        <f t="shared" si="5"/>
        <v>HorsePower  &lt;&lt;&lt;&gt;&gt;&gt; Kilowatts </v>
      </c>
      <c r="W355" t="s">
        <v>232</v>
      </c>
      <c r="X355" t="s">
        <v>233</v>
      </c>
      <c r="Y355">
        <v>0.7457</v>
      </c>
    </row>
    <row r="356" spans="1:25" ht="15">
      <c r="A356" s="183" t="s">
        <v>151</v>
      </c>
      <c r="B356" s="339">
        <v>0.9375</v>
      </c>
      <c r="V356" t="str">
        <f t="shared" si="5"/>
        <v>HorsePower  &lt;&lt;&lt;&gt;&gt;&gt; Watts </v>
      </c>
      <c r="W356" t="s">
        <v>232</v>
      </c>
      <c r="X356" t="s">
        <v>229</v>
      </c>
      <c r="Y356">
        <v>745.7</v>
      </c>
    </row>
    <row r="357" spans="2:25" ht="15">
      <c r="B357" s="339">
        <v>0.9449</v>
      </c>
      <c r="D357" s="1">
        <v>24</v>
      </c>
      <c r="V357" t="str">
        <f t="shared" si="5"/>
        <v>HorsePower (boiler)  &lt;&lt;&lt;&gt;&gt;&gt; BTU/Hour </v>
      </c>
      <c r="W357" t="s">
        <v>441</v>
      </c>
      <c r="X357" t="s">
        <v>1142</v>
      </c>
      <c r="Y357">
        <v>33479</v>
      </c>
    </row>
    <row r="358" spans="1:25" ht="15">
      <c r="A358" s="183" t="s">
        <v>153</v>
      </c>
      <c r="B358" s="339">
        <v>0.9531</v>
      </c>
      <c r="V358" t="str">
        <f t="shared" si="5"/>
        <v>HorsePower (boiler)  &lt;&lt;&lt;&gt;&gt;&gt; Kilowatts </v>
      </c>
      <c r="W358" t="s">
        <v>441</v>
      </c>
      <c r="X358" t="s">
        <v>233</v>
      </c>
      <c r="Y358">
        <v>9.803</v>
      </c>
    </row>
    <row r="359" spans="2:25" ht="15">
      <c r="B359" s="339">
        <v>0.9646</v>
      </c>
      <c r="D359" s="1">
        <v>24.5</v>
      </c>
      <c r="V359" t="str">
        <f t="shared" si="5"/>
        <v>HorsePower (metric)  &lt;&lt;&lt;&gt;&gt;&gt; HorsePower </v>
      </c>
      <c r="W359" t="s">
        <v>442</v>
      </c>
      <c r="X359" t="s">
        <v>232</v>
      </c>
      <c r="Y359">
        <v>0.9863</v>
      </c>
    </row>
    <row r="360" spans="1:25" ht="15">
      <c r="A360" s="183" t="s">
        <v>156</v>
      </c>
      <c r="B360" s="339">
        <v>0.9688</v>
      </c>
      <c r="V360" t="str">
        <f t="shared" si="5"/>
        <v>HorsePower-Hours  &lt;&lt;&lt;&gt;&gt;&gt; BTU </v>
      </c>
      <c r="W360" t="s">
        <v>1137</v>
      </c>
      <c r="X360" t="s">
        <v>1133</v>
      </c>
      <c r="Y360">
        <v>2547</v>
      </c>
    </row>
    <row r="361" spans="2:25" ht="15">
      <c r="B361" s="339">
        <v>0.9843</v>
      </c>
      <c r="D361" s="1">
        <v>25</v>
      </c>
      <c r="V361" t="str">
        <f t="shared" si="5"/>
        <v>HorsePower-Hours  &lt;&lt;&lt;&gt;&gt;&gt; Ergs </v>
      </c>
      <c r="W361" t="s">
        <v>1137</v>
      </c>
      <c r="X361" t="s">
        <v>1134</v>
      </c>
      <c r="Y361">
        <v>26800000000000</v>
      </c>
    </row>
    <row r="362" spans="1:25" ht="15">
      <c r="A362" s="183" t="s">
        <v>161</v>
      </c>
      <c r="B362" s="339">
        <v>0.9844</v>
      </c>
      <c r="V362" t="str">
        <f t="shared" si="5"/>
        <v>HorsePower-Hours  &lt;&lt;&lt;&gt;&gt;&gt; Foot-lbs </v>
      </c>
      <c r="W362" t="s">
        <v>1137</v>
      </c>
      <c r="X362" t="s">
        <v>1135</v>
      </c>
      <c r="Y362">
        <v>1980000</v>
      </c>
    </row>
    <row r="363" spans="1:25" ht="15">
      <c r="A363" s="183" t="s">
        <v>163</v>
      </c>
      <c r="B363" s="339">
        <v>1</v>
      </c>
      <c r="V363" t="str">
        <f t="shared" si="5"/>
        <v>HorsePower-Hours  &lt;&lt;&lt;&gt;&gt;&gt; Gram-Calories </v>
      </c>
      <c r="W363" t="s">
        <v>1137</v>
      </c>
      <c r="X363" t="s">
        <v>1136</v>
      </c>
      <c r="Y363">
        <v>641190</v>
      </c>
    </row>
    <row r="364" spans="2:25" ht="15">
      <c r="B364" s="339">
        <v>1.0039</v>
      </c>
      <c r="D364" s="1">
        <v>25.5</v>
      </c>
      <c r="V364" t="str">
        <f t="shared" si="5"/>
        <v>HorsePower-Hours  &lt;&lt;&lt;&gt;&gt;&gt; Joules </v>
      </c>
      <c r="W364" t="s">
        <v>1137</v>
      </c>
      <c r="X364" t="s">
        <v>1138</v>
      </c>
      <c r="Y364">
        <v>2684000</v>
      </c>
    </row>
    <row r="365" spans="1:25" ht="15">
      <c r="A365" s="183" t="s">
        <v>166</v>
      </c>
      <c r="B365" s="339">
        <v>1.0156</v>
      </c>
      <c r="V365" t="str">
        <f t="shared" si="5"/>
        <v>HorsePower-Hours  &lt;&lt;&lt;&gt;&gt;&gt; Kilogram-Calories </v>
      </c>
      <c r="W365" t="s">
        <v>1137</v>
      </c>
      <c r="X365" t="s">
        <v>1139</v>
      </c>
      <c r="Y365">
        <v>641.1</v>
      </c>
    </row>
    <row r="366" spans="2:25" ht="15">
      <c r="B366" s="339">
        <v>1.0236</v>
      </c>
      <c r="D366" s="1">
        <v>26</v>
      </c>
      <c r="V366" t="str">
        <f t="shared" si="5"/>
        <v>HorsePower-Hours  &lt;&lt;&lt;&gt;&gt;&gt; Kilogram-meters </v>
      </c>
      <c r="W366" t="s">
        <v>1137</v>
      </c>
      <c r="X366" t="s">
        <v>1140</v>
      </c>
      <c r="Y366">
        <v>273700</v>
      </c>
    </row>
    <row r="367" spans="1:25" ht="15">
      <c r="A367" s="183" t="s">
        <v>168</v>
      </c>
      <c r="B367" s="339">
        <v>1.0312</v>
      </c>
      <c r="V367" t="str">
        <f t="shared" si="5"/>
        <v>HorsePower-Hours  &lt;&lt;&lt;&gt;&gt;&gt; Kilowatt-Hours </v>
      </c>
      <c r="W367" t="s">
        <v>1137</v>
      </c>
      <c r="X367" t="s">
        <v>1141</v>
      </c>
      <c r="Y367">
        <v>0.7457</v>
      </c>
    </row>
    <row r="368" spans="2:25" ht="15">
      <c r="B368" s="339">
        <v>1.0433</v>
      </c>
      <c r="D368" s="1">
        <v>26.5</v>
      </c>
      <c r="V368" t="str">
        <f t="shared" si="5"/>
        <v>Hours (mean solar)  &lt;&lt;&lt;&gt;&gt;&gt; Days </v>
      </c>
      <c r="W368" t="s">
        <v>443</v>
      </c>
      <c r="X368" t="s">
        <v>444</v>
      </c>
      <c r="Y368">
        <v>0.04166667</v>
      </c>
    </row>
    <row r="369" spans="1:25" ht="15">
      <c r="A369" s="183" t="s">
        <v>171</v>
      </c>
      <c r="B369" s="339">
        <v>1.0469</v>
      </c>
      <c r="V369" t="str">
        <f t="shared" si="5"/>
        <v>Hours (mean solar)  &lt;&lt;&lt;&gt;&gt;&gt; Weeks </v>
      </c>
      <c r="W369" t="s">
        <v>443</v>
      </c>
      <c r="X369" t="s">
        <v>445</v>
      </c>
      <c r="Y369">
        <v>0.005952381</v>
      </c>
    </row>
    <row r="370" spans="1:25" ht="15">
      <c r="A370" s="183" t="s">
        <v>173</v>
      </c>
      <c r="B370" s="339">
        <v>1.0625</v>
      </c>
      <c r="V370" t="str">
        <f t="shared" si="5"/>
        <v>Hundredweight (long) &lt;&lt;&lt;&gt;&gt;&gt; Kilograms (kg)</v>
      </c>
      <c r="W370" t="s">
        <v>446</v>
      </c>
      <c r="X370" t="s">
        <v>414</v>
      </c>
      <c r="Y370">
        <v>50.80235</v>
      </c>
    </row>
    <row r="371" spans="2:25" ht="15">
      <c r="B371" s="339">
        <v>1.063</v>
      </c>
      <c r="D371" s="1">
        <v>27</v>
      </c>
      <c r="V371" t="str">
        <f t="shared" si="5"/>
        <v>Hundredweight (short) &lt;&lt;&lt;&gt;&gt;&gt; Kilogram (kg)</v>
      </c>
      <c r="W371" t="s">
        <v>447</v>
      </c>
      <c r="X371" t="s">
        <v>448</v>
      </c>
      <c r="Y371">
        <v>45.35924</v>
      </c>
    </row>
    <row r="372" spans="1:25" ht="15">
      <c r="A372" s="183" t="s">
        <v>176</v>
      </c>
      <c r="B372" s="339">
        <v>1.0781</v>
      </c>
      <c r="V372" t="str">
        <f t="shared" si="5"/>
        <v>Hundredweights (long)  &lt;&lt;&lt;&gt;&gt;&gt; Pounds </v>
      </c>
      <c r="W372" t="s">
        <v>449</v>
      </c>
      <c r="X372" t="s">
        <v>366</v>
      </c>
      <c r="Y372">
        <v>112</v>
      </c>
    </row>
    <row r="373" spans="2:25" ht="15">
      <c r="B373" s="339">
        <v>1.0827</v>
      </c>
      <c r="D373" s="1">
        <v>27.5</v>
      </c>
      <c r="V373" t="str">
        <f t="shared" si="5"/>
        <v>Hundredweights (long)  &lt;&lt;&lt;&gt;&gt;&gt; Tons (long) </v>
      </c>
      <c r="W373" t="s">
        <v>449</v>
      </c>
      <c r="X373" t="s">
        <v>450</v>
      </c>
      <c r="Y373">
        <v>0.05</v>
      </c>
    </row>
    <row r="374" spans="1:25" ht="15">
      <c r="A374" s="183" t="s">
        <v>181</v>
      </c>
      <c r="B374" s="339">
        <v>1.0938</v>
      </c>
      <c r="V374" t="str">
        <f t="shared" si="5"/>
        <v>Hundredweights (short)  &lt;&lt;&lt;&gt;&gt;&gt; Ounces (avoirdupois) </v>
      </c>
      <c r="W374" t="s">
        <v>451</v>
      </c>
      <c r="X374" t="s">
        <v>411</v>
      </c>
      <c r="Y374">
        <v>1600</v>
      </c>
    </row>
    <row r="375" spans="2:25" ht="15">
      <c r="B375" s="339">
        <v>1.1024</v>
      </c>
      <c r="D375" s="1">
        <v>28</v>
      </c>
      <c r="V375" t="str">
        <f t="shared" si="5"/>
        <v>Hundredweights (short)  &lt;&lt;&lt;&gt;&gt;&gt; Pounds </v>
      </c>
      <c r="W375" t="s">
        <v>451</v>
      </c>
      <c r="X375" t="s">
        <v>366</v>
      </c>
      <c r="Y375">
        <v>100</v>
      </c>
    </row>
    <row r="376" spans="1:25" ht="15">
      <c r="A376" s="183" t="s">
        <v>184</v>
      </c>
      <c r="B376" s="339">
        <v>1.1094</v>
      </c>
      <c r="V376" t="str">
        <f t="shared" si="5"/>
        <v>Hundredweights (short)  &lt;&lt;&lt;&gt;&gt;&gt; Tons (long) </v>
      </c>
      <c r="W376" t="s">
        <v>451</v>
      </c>
      <c r="X376" t="s">
        <v>450</v>
      </c>
      <c r="Y376">
        <v>0.0446429</v>
      </c>
    </row>
    <row r="377" spans="2:25" ht="15">
      <c r="B377" s="339">
        <v>1.122</v>
      </c>
      <c r="D377" s="1">
        <v>28.5</v>
      </c>
      <c r="V377" t="str">
        <f t="shared" si="5"/>
        <v>Hundredweights (short)  &lt;&lt;&lt;&gt;&gt;&gt; Tons (metric) </v>
      </c>
      <c r="W377" t="s">
        <v>451</v>
      </c>
      <c r="X377" t="s">
        <v>452</v>
      </c>
      <c r="Y377">
        <v>0.0453592</v>
      </c>
    </row>
    <row r="378" spans="1:25" ht="15">
      <c r="A378" s="183" t="s">
        <v>187</v>
      </c>
      <c r="B378" s="339">
        <v>1.125</v>
      </c>
      <c r="V378" t="str">
        <f t="shared" si="5"/>
        <v>Inches &lt;&lt;&lt;&gt;&gt;&gt; Centimeters</v>
      </c>
      <c r="W378" t="s">
        <v>56</v>
      </c>
      <c r="X378" t="s">
        <v>60</v>
      </c>
      <c r="Y378">
        <v>2.54</v>
      </c>
    </row>
    <row r="379" spans="1:25" ht="15">
      <c r="A379" s="183" t="s">
        <v>190</v>
      </c>
      <c r="B379" s="339">
        <v>1.1406</v>
      </c>
      <c r="V379" t="str">
        <f t="shared" si="5"/>
        <v>Inches &lt;&lt;&lt;&gt;&gt;&gt; Feet</v>
      </c>
      <c r="W379" t="s">
        <v>56</v>
      </c>
      <c r="X379" t="s">
        <v>62</v>
      </c>
      <c r="Y379">
        <v>0.08333333</v>
      </c>
    </row>
    <row r="380" spans="2:25" ht="15">
      <c r="B380" s="339">
        <v>1.1417</v>
      </c>
      <c r="D380" s="1">
        <v>29</v>
      </c>
      <c r="V380" t="str">
        <f t="shared" si="5"/>
        <v>Inches &lt;&lt;&lt;&gt;&gt;&gt; Meters</v>
      </c>
      <c r="W380" t="s">
        <v>56</v>
      </c>
      <c r="X380" t="s">
        <v>64</v>
      </c>
      <c r="Y380">
        <v>0.0254</v>
      </c>
    </row>
    <row r="381" spans="1:25" ht="15">
      <c r="A381" s="183" t="s">
        <v>192</v>
      </c>
      <c r="B381" s="339">
        <v>1.1562</v>
      </c>
      <c r="V381" t="str">
        <f t="shared" si="5"/>
        <v>Inches &lt;&lt;&lt;&gt;&gt;&gt; Miles</v>
      </c>
      <c r="W381" t="s">
        <v>56</v>
      </c>
      <c r="X381" t="s">
        <v>68</v>
      </c>
      <c r="Y381">
        <v>1.578E-05</v>
      </c>
    </row>
    <row r="382" spans="2:25" ht="15">
      <c r="B382" s="339">
        <v>1.1614</v>
      </c>
      <c r="D382" s="1">
        <v>29.5</v>
      </c>
      <c r="V382" t="str">
        <f t="shared" si="5"/>
        <v>Inches &lt;&lt;&lt;&gt;&gt;&gt; Millimeters</v>
      </c>
      <c r="W382" t="s">
        <v>56</v>
      </c>
      <c r="X382" t="s">
        <v>58</v>
      </c>
      <c r="Y382">
        <v>25.4</v>
      </c>
    </row>
    <row r="383" spans="1:25" ht="15">
      <c r="A383" s="183" t="s">
        <v>195</v>
      </c>
      <c r="B383" s="339">
        <v>1.1719</v>
      </c>
      <c r="V383" t="str">
        <f t="shared" si="5"/>
        <v>Inches &lt;&lt;&lt;&gt;&gt;&gt; Mils</v>
      </c>
      <c r="W383" t="s">
        <v>56</v>
      </c>
      <c r="X383" t="s">
        <v>261</v>
      </c>
      <c r="Y383">
        <v>1000</v>
      </c>
    </row>
    <row r="384" spans="2:25" ht="15">
      <c r="B384" s="339">
        <v>1.1811</v>
      </c>
      <c r="D384" s="1">
        <v>30</v>
      </c>
      <c r="V384" t="str">
        <f t="shared" si="5"/>
        <v>Inches &lt;&lt;&lt;&gt;&gt;&gt; Yards</v>
      </c>
      <c r="W384" t="s">
        <v>56</v>
      </c>
      <c r="X384" t="s">
        <v>65</v>
      </c>
      <c r="Y384">
        <v>0.027777778</v>
      </c>
    </row>
    <row r="385" spans="1:25" ht="15">
      <c r="A385" s="183" t="s">
        <v>199</v>
      </c>
      <c r="B385" s="339">
        <v>1.1875</v>
      </c>
      <c r="V385" t="str">
        <f t="shared" si="5"/>
        <v>Inches of Mercury  &lt;&lt;&lt;&gt;&gt;&gt; Atmospheres </v>
      </c>
      <c r="W385" t="s">
        <v>453</v>
      </c>
      <c r="X385" t="s">
        <v>1107</v>
      </c>
      <c r="Y385">
        <v>0.03342</v>
      </c>
    </row>
    <row r="386" spans="2:25" ht="15">
      <c r="B386" s="339">
        <v>1.2008</v>
      </c>
      <c r="D386" s="1">
        <v>30.5</v>
      </c>
      <c r="V386" t="str">
        <f t="shared" si="5"/>
        <v>Inches of Mercury  &lt;&lt;&lt;&gt;&gt;&gt; Feet of water </v>
      </c>
      <c r="W386" t="s">
        <v>453</v>
      </c>
      <c r="X386" t="s">
        <v>263</v>
      </c>
      <c r="Y386">
        <v>1.133</v>
      </c>
    </row>
    <row r="387" spans="1:25" ht="15">
      <c r="A387" s="183" t="s">
        <v>203</v>
      </c>
      <c r="B387" s="339">
        <v>1.2031</v>
      </c>
      <c r="V387" t="str">
        <f aca="true" t="shared" si="6" ref="V387:V450">IF(W387="","",W387&amp;" &lt;&lt;&lt;&gt;&gt;&gt; "&amp;X387)</f>
        <v>Inches of Mercury  &lt;&lt;&lt;&gt;&gt;&gt; Kgs/sq. cm </v>
      </c>
      <c r="W387" t="s">
        <v>453</v>
      </c>
      <c r="X387" t="s">
        <v>1112</v>
      </c>
      <c r="Y387">
        <v>0.03453</v>
      </c>
    </row>
    <row r="388" spans="1:25" ht="15">
      <c r="A388" s="183" t="s">
        <v>205</v>
      </c>
      <c r="B388" s="339">
        <v>1.2188</v>
      </c>
      <c r="V388" t="str">
        <f t="shared" si="6"/>
        <v>Inches of Mercury  &lt;&lt;&lt;&gt;&gt;&gt; Kgs/sq. meter </v>
      </c>
      <c r="W388" t="s">
        <v>453</v>
      </c>
      <c r="X388" t="s">
        <v>1114</v>
      </c>
      <c r="Y388">
        <v>345.3</v>
      </c>
    </row>
    <row r="389" spans="2:25" ht="15">
      <c r="B389" s="339">
        <v>1.2205</v>
      </c>
      <c r="D389" s="1">
        <v>31</v>
      </c>
      <c r="V389" t="str">
        <f t="shared" si="6"/>
        <v>Inches of Mercury  &lt;&lt;&lt;&gt;&gt;&gt; Pounds/sq. ft. </v>
      </c>
      <c r="W389" t="s">
        <v>453</v>
      </c>
      <c r="X389" t="s">
        <v>454</v>
      </c>
      <c r="Y389">
        <v>70.73</v>
      </c>
    </row>
    <row r="390" spans="1:25" ht="15">
      <c r="A390" s="183" t="s">
        <v>208</v>
      </c>
      <c r="B390" s="339">
        <v>1.2344</v>
      </c>
      <c r="V390" t="str">
        <f t="shared" si="6"/>
        <v>Inches of Mercury  &lt;&lt;&lt;&gt;&gt;&gt; Pounds/sq. in. </v>
      </c>
      <c r="W390" t="s">
        <v>453</v>
      </c>
      <c r="X390" t="s">
        <v>455</v>
      </c>
      <c r="Y390">
        <v>0.4912</v>
      </c>
    </row>
    <row r="391" spans="2:25" ht="15">
      <c r="B391" s="339">
        <v>1.2402</v>
      </c>
      <c r="D391" s="1">
        <v>31.5</v>
      </c>
      <c r="V391" t="str">
        <f t="shared" si="6"/>
        <v>Inches of water (at 4øC) &lt;&lt;&lt;&gt;&gt;&gt; Atmospheres </v>
      </c>
      <c r="W391" t="s">
        <v>456</v>
      </c>
      <c r="X391" t="s">
        <v>1107</v>
      </c>
      <c r="Y391">
        <v>0.002458</v>
      </c>
    </row>
    <row r="392" spans="1:25" ht="15">
      <c r="A392" s="183" t="s">
        <v>210</v>
      </c>
      <c r="B392" s="339">
        <v>1.25</v>
      </c>
      <c r="V392" t="str">
        <f t="shared" si="6"/>
        <v>Inches of water (at 4øC) &lt;&lt;&lt;&gt;&gt;&gt; Inches of Mercury </v>
      </c>
      <c r="W392" t="s">
        <v>456</v>
      </c>
      <c r="X392" t="s">
        <v>453</v>
      </c>
      <c r="Y392">
        <v>0.07355</v>
      </c>
    </row>
    <row r="393" spans="2:25" ht="15">
      <c r="B393" s="339">
        <v>1.2598</v>
      </c>
      <c r="D393" s="1">
        <v>32</v>
      </c>
      <c r="V393" t="str">
        <f t="shared" si="6"/>
        <v>Inches of water (at 4øC) &lt;&lt;&lt;&gt;&gt;&gt; Kgs/sq. cm </v>
      </c>
      <c r="W393" t="s">
        <v>456</v>
      </c>
      <c r="X393" t="s">
        <v>1112</v>
      </c>
      <c r="Y393">
        <v>0.00254</v>
      </c>
    </row>
    <row r="394" spans="1:25" ht="15">
      <c r="A394" s="183" t="s">
        <v>213</v>
      </c>
      <c r="B394" s="339">
        <v>1.2656</v>
      </c>
      <c r="V394" t="str">
        <f t="shared" si="6"/>
        <v>Inches of water (at 4øC) &lt;&lt;&lt;&gt;&gt;&gt; Ounces/sq. Inch </v>
      </c>
      <c r="W394" t="s">
        <v>456</v>
      </c>
      <c r="X394" t="s">
        <v>457</v>
      </c>
      <c r="Y394">
        <v>0.5781</v>
      </c>
    </row>
    <row r="395" spans="2:25" ht="15">
      <c r="B395" s="339">
        <v>1.2795</v>
      </c>
      <c r="D395" s="1">
        <v>32.5</v>
      </c>
      <c r="V395" t="str">
        <f t="shared" si="6"/>
        <v>Inches of water (at 4øC) &lt;&lt;&lt;&gt;&gt;&gt; Pounds/sq. Foot </v>
      </c>
      <c r="W395" t="s">
        <v>456</v>
      </c>
      <c r="X395" t="s">
        <v>1129</v>
      </c>
      <c r="Y395">
        <v>5.204</v>
      </c>
    </row>
    <row r="396" spans="1:25" ht="15">
      <c r="A396" s="183" t="s">
        <v>217</v>
      </c>
      <c r="B396" s="339">
        <v>1.2812</v>
      </c>
      <c r="V396" t="str">
        <f t="shared" si="6"/>
        <v>Inches of water (at 4øC) &lt;&lt;&lt;&gt;&gt;&gt; Pounds/sq. Inch </v>
      </c>
      <c r="W396" t="s">
        <v>456</v>
      </c>
      <c r="X396" t="s">
        <v>1115</v>
      </c>
      <c r="Y396">
        <v>0.03613</v>
      </c>
    </row>
    <row r="397" spans="1:25" ht="15">
      <c r="A397" s="183" t="s">
        <v>219</v>
      </c>
      <c r="B397" s="339">
        <v>1.2969</v>
      </c>
      <c r="V397" t="str">
        <f t="shared" si="6"/>
        <v>Inches per Minute &lt;&lt;&lt;&gt;&gt;&gt; Centimeters per Minute</v>
      </c>
      <c r="W397" t="s">
        <v>265</v>
      </c>
      <c r="X397" t="s">
        <v>264</v>
      </c>
      <c r="Y397">
        <v>2.54</v>
      </c>
    </row>
    <row r="398" spans="2:25" ht="15">
      <c r="B398" s="339">
        <v>1.2992</v>
      </c>
      <c r="D398" s="1">
        <v>33</v>
      </c>
      <c r="V398" t="str">
        <f t="shared" si="6"/>
        <v>Inches per Minute &lt;&lt;&lt;&gt;&gt;&gt; Meters per Minute</v>
      </c>
      <c r="W398" t="s">
        <v>265</v>
      </c>
      <c r="X398" t="s">
        <v>382</v>
      </c>
      <c r="Y398">
        <v>0.0254</v>
      </c>
    </row>
    <row r="399" spans="1:25" ht="15">
      <c r="A399" s="183" t="s">
        <v>222</v>
      </c>
      <c r="B399" s="339">
        <v>1.3125</v>
      </c>
      <c r="V399" t="str">
        <f t="shared" si="6"/>
        <v>Inches per Minute &lt;&lt;&lt;&gt;&gt;&gt; Millimeters per Minute</v>
      </c>
      <c r="W399" t="s">
        <v>265</v>
      </c>
      <c r="X399" t="s">
        <v>458</v>
      </c>
      <c r="Y399">
        <v>25.4</v>
      </c>
    </row>
    <row r="400" spans="2:25" ht="15">
      <c r="B400" s="339">
        <v>1.3189</v>
      </c>
      <c r="D400" s="1">
        <v>33.5</v>
      </c>
      <c r="V400" t="str">
        <f t="shared" si="6"/>
        <v>international Ampere  &lt;&lt;&lt;&gt;&gt;&gt; Ampere (absolute) </v>
      </c>
      <c r="W400" t="s">
        <v>459</v>
      </c>
      <c r="X400" t="s">
        <v>374</v>
      </c>
      <c r="Y400">
        <v>0.9998</v>
      </c>
    </row>
    <row r="401" spans="1:25" ht="15">
      <c r="A401" s="183" t="s">
        <v>224</v>
      </c>
      <c r="B401" s="339">
        <v>1.3281</v>
      </c>
      <c r="V401" t="str">
        <f t="shared" si="6"/>
        <v>international Volt  &lt;&lt;&lt;&gt;&gt;&gt; Joules </v>
      </c>
      <c r="W401" t="s">
        <v>460</v>
      </c>
      <c r="X401" t="s">
        <v>1138</v>
      </c>
      <c r="Y401">
        <v>96540</v>
      </c>
    </row>
    <row r="402" spans="2:25" ht="15">
      <c r="B402" s="339">
        <v>1.3386</v>
      </c>
      <c r="D402" s="1">
        <v>34</v>
      </c>
      <c r="V402" t="str">
        <f t="shared" si="6"/>
        <v>international Volt  &lt;&lt;&lt;&gt;&gt;&gt; Joules (absolute) </v>
      </c>
      <c r="W402" t="s">
        <v>460</v>
      </c>
      <c r="X402" t="s">
        <v>461</v>
      </c>
      <c r="Y402">
        <v>1.59E-19</v>
      </c>
    </row>
    <row r="403" spans="1:25" ht="15">
      <c r="A403" s="183" t="s">
        <v>919</v>
      </c>
      <c r="B403" s="339">
        <v>1.3438</v>
      </c>
      <c r="V403" t="str">
        <f t="shared" si="6"/>
        <v>Joules  &lt;&lt;&lt;&gt;&gt;&gt; BTU </v>
      </c>
      <c r="W403" t="s">
        <v>1138</v>
      </c>
      <c r="X403" t="s">
        <v>1133</v>
      </c>
      <c r="Y403">
        <v>0.000948</v>
      </c>
    </row>
    <row r="404" spans="2:25" ht="15">
      <c r="B404" s="339">
        <v>1.3583</v>
      </c>
      <c r="D404" s="1">
        <v>34.5</v>
      </c>
      <c r="V404" t="str">
        <f t="shared" si="6"/>
        <v>Joules  &lt;&lt;&lt;&gt;&gt;&gt; Ergs </v>
      </c>
      <c r="W404" t="s">
        <v>1138</v>
      </c>
      <c r="X404" t="s">
        <v>1134</v>
      </c>
      <c r="Y404">
        <v>10000000</v>
      </c>
    </row>
    <row r="405" spans="1:25" ht="15">
      <c r="A405" s="183" t="s">
        <v>923</v>
      </c>
      <c r="B405" s="339">
        <v>1.3594</v>
      </c>
      <c r="V405" t="str">
        <f t="shared" si="6"/>
        <v>Joules  &lt;&lt;&lt;&gt;&gt;&gt; Foot-pounds </v>
      </c>
      <c r="W405" t="s">
        <v>1138</v>
      </c>
      <c r="X405" t="s">
        <v>389</v>
      </c>
      <c r="Y405">
        <v>0.7376</v>
      </c>
    </row>
    <row r="406" spans="1:25" ht="15">
      <c r="A406" s="183" t="s">
        <v>925</v>
      </c>
      <c r="B406" s="339">
        <v>1.375</v>
      </c>
      <c r="V406" t="str">
        <f t="shared" si="6"/>
        <v>Joules  &lt;&lt;&lt;&gt;&gt;&gt; Kilogram-Calories </v>
      </c>
      <c r="W406" t="s">
        <v>1138</v>
      </c>
      <c r="X406" t="s">
        <v>1139</v>
      </c>
      <c r="Y406">
        <v>0.0002389</v>
      </c>
    </row>
    <row r="407" spans="2:25" ht="15">
      <c r="B407" s="339">
        <v>1.378</v>
      </c>
      <c r="D407" s="1">
        <v>35</v>
      </c>
      <c r="V407" t="str">
        <f t="shared" si="6"/>
        <v>Joules  &lt;&lt;&lt;&gt;&gt;&gt; Kilogram-meters </v>
      </c>
      <c r="W407" t="s">
        <v>1138</v>
      </c>
      <c r="X407" t="s">
        <v>1140</v>
      </c>
      <c r="Y407">
        <v>0.102</v>
      </c>
    </row>
    <row r="408" spans="1:25" ht="15">
      <c r="A408" s="183" t="s">
        <v>928</v>
      </c>
      <c r="B408" s="339">
        <v>1.3906</v>
      </c>
      <c r="V408" t="str">
        <f t="shared" si="6"/>
        <v>Joules  &lt;&lt;&lt;&gt;&gt;&gt; Poundals </v>
      </c>
      <c r="W408" t="s">
        <v>1138</v>
      </c>
      <c r="X408" t="s">
        <v>365</v>
      </c>
      <c r="Y408">
        <v>723.3</v>
      </c>
    </row>
    <row r="409" spans="2:25" ht="15">
      <c r="B409" s="339">
        <v>1.3976</v>
      </c>
      <c r="D409" s="1">
        <v>35.5</v>
      </c>
      <c r="V409" t="str">
        <f t="shared" si="6"/>
        <v>Joules  &lt;&lt;&lt;&gt;&gt;&gt; Pounds </v>
      </c>
      <c r="W409" t="s">
        <v>1138</v>
      </c>
      <c r="X409" t="s">
        <v>366</v>
      </c>
      <c r="Y409">
        <v>22.48</v>
      </c>
    </row>
    <row r="410" spans="1:25" ht="15">
      <c r="A410" s="183" t="s">
        <v>931</v>
      </c>
      <c r="B410" s="339">
        <v>1.4062</v>
      </c>
      <c r="V410" t="str">
        <f t="shared" si="6"/>
        <v>Joules  &lt;&lt;&lt;&gt;&gt;&gt; Watt-Hours </v>
      </c>
      <c r="W410" t="s">
        <v>1138</v>
      </c>
      <c r="X410" t="s">
        <v>371</v>
      </c>
      <c r="Y410">
        <v>0.0002778</v>
      </c>
    </row>
    <row r="411" spans="2:25" ht="15">
      <c r="B411" s="339">
        <v>1.4173</v>
      </c>
      <c r="D411" s="1">
        <v>36</v>
      </c>
      <c r="V411" t="str">
        <f t="shared" si="6"/>
        <v>Joules/Centimeter &lt;&lt;&lt;&gt;&gt;&gt; Dynes</v>
      </c>
      <c r="W411" t="s">
        <v>359</v>
      </c>
      <c r="X411" t="s">
        <v>358</v>
      </c>
      <c r="Y411">
        <v>10000000</v>
      </c>
    </row>
    <row r="412" spans="1:25" ht="15">
      <c r="A412" s="183" t="s">
        <v>934</v>
      </c>
      <c r="B412" s="339">
        <v>1.4219</v>
      </c>
      <c r="V412" t="str">
        <f t="shared" si="6"/>
        <v>Joules/Centimeters  &lt;&lt;&lt;&gt;&gt;&gt; dynes </v>
      </c>
      <c r="W412" t="s">
        <v>462</v>
      </c>
      <c r="X412" t="s">
        <v>463</v>
      </c>
      <c r="Y412">
        <v>10000000</v>
      </c>
    </row>
    <row r="413" spans="2:25" ht="15">
      <c r="B413" s="339">
        <v>1.437</v>
      </c>
      <c r="D413" s="1">
        <v>36.5</v>
      </c>
      <c r="V413" t="str">
        <f t="shared" si="6"/>
        <v>Joules/Centimeters  &lt;&lt;&lt;&gt;&gt;&gt; Grams </v>
      </c>
      <c r="W413" t="s">
        <v>462</v>
      </c>
      <c r="X413" t="s">
        <v>254</v>
      </c>
      <c r="Y413">
        <v>10200</v>
      </c>
    </row>
    <row r="414" spans="1:25" ht="15">
      <c r="A414" s="183" t="s">
        <v>936</v>
      </c>
      <c r="B414" s="339">
        <v>1.4375</v>
      </c>
      <c r="V414" t="str">
        <f t="shared" si="6"/>
        <v>Joules/Centimeters  &lt;&lt;&lt;&gt;&gt;&gt; Joules/Meter (newton) </v>
      </c>
      <c r="W414" t="s">
        <v>462</v>
      </c>
      <c r="X414" t="s">
        <v>464</v>
      </c>
      <c r="Y414">
        <v>100</v>
      </c>
    </row>
    <row r="415" spans="1:25" ht="15">
      <c r="A415" s="183" t="s">
        <v>941</v>
      </c>
      <c r="B415" s="339">
        <v>1.4531</v>
      </c>
      <c r="V415" t="str">
        <f t="shared" si="6"/>
        <v>Kilograms &lt;&lt;&lt;&gt;&gt;&gt; Dynes</v>
      </c>
      <c r="W415" t="s">
        <v>82</v>
      </c>
      <c r="X415" t="s">
        <v>358</v>
      </c>
      <c r="Y415">
        <v>980665</v>
      </c>
    </row>
    <row r="416" spans="2:25" ht="15">
      <c r="B416" s="339">
        <v>1.4567</v>
      </c>
      <c r="D416" s="1">
        <v>37</v>
      </c>
      <c r="V416" t="str">
        <f t="shared" si="6"/>
        <v>Kilograms &lt;&lt;&lt;&gt;&gt;&gt; Grams (g)</v>
      </c>
      <c r="W416" t="s">
        <v>82</v>
      </c>
      <c r="X416" t="s">
        <v>465</v>
      </c>
      <c r="Y416">
        <v>1000</v>
      </c>
    </row>
    <row r="417" spans="1:25" ht="15">
      <c r="A417" s="183" t="s">
        <v>944</v>
      </c>
      <c r="B417" s="339">
        <v>1.4688</v>
      </c>
      <c r="V417" t="str">
        <f t="shared" si="6"/>
        <v>Kilograms &lt;&lt;&lt;&gt;&gt;&gt; Hundredweight (long)</v>
      </c>
      <c r="W417" t="s">
        <v>82</v>
      </c>
      <c r="X417" t="s">
        <v>446</v>
      </c>
      <c r="Y417">
        <v>0.01968413</v>
      </c>
    </row>
    <row r="418" spans="2:25" ht="15">
      <c r="B418" s="339">
        <v>1.4764</v>
      </c>
      <c r="D418" s="1">
        <v>37.5</v>
      </c>
      <c r="V418" t="str">
        <f t="shared" si="6"/>
        <v>Kilograms &lt;&lt;&lt;&gt;&gt;&gt; Hundredweight (short)</v>
      </c>
      <c r="W418" t="s">
        <v>82</v>
      </c>
      <c r="X418" t="s">
        <v>447</v>
      </c>
      <c r="Y418">
        <v>0.02204622</v>
      </c>
    </row>
    <row r="419" spans="1:25" ht="15">
      <c r="A419" s="183" t="s">
        <v>946</v>
      </c>
      <c r="B419" s="339">
        <v>1.4844</v>
      </c>
      <c r="V419" t="str">
        <f t="shared" si="6"/>
        <v>Kilograms &lt;&lt;&lt;&gt;&gt;&gt; Ounces (avoirdupois)</v>
      </c>
      <c r="W419" t="s">
        <v>82</v>
      </c>
      <c r="X419" t="s">
        <v>415</v>
      </c>
      <c r="Y419">
        <v>35.27397</v>
      </c>
    </row>
    <row r="420" spans="2:25" ht="15">
      <c r="B420" s="339">
        <v>1.4961</v>
      </c>
      <c r="D420" s="1">
        <v>38</v>
      </c>
      <c r="V420" t="str">
        <f t="shared" si="6"/>
        <v>Kilograms &lt;&lt;&lt;&gt;&gt;&gt; Ounces (troy)</v>
      </c>
      <c r="W420" t="s">
        <v>82</v>
      </c>
      <c r="X420" t="s">
        <v>416</v>
      </c>
      <c r="Y420">
        <v>32.15074</v>
      </c>
    </row>
    <row r="421" spans="1:25" ht="15">
      <c r="A421" s="183" t="s">
        <v>949</v>
      </c>
      <c r="B421" s="339">
        <v>1.5</v>
      </c>
      <c r="V421" t="str">
        <f t="shared" si="6"/>
        <v>Kilograms &lt;&lt;&lt;&gt;&gt;&gt; Pounds (avoirdupois)</v>
      </c>
      <c r="W421" t="s">
        <v>82</v>
      </c>
      <c r="X421" t="s">
        <v>466</v>
      </c>
      <c r="Y421">
        <v>2.204622</v>
      </c>
    </row>
    <row r="422" spans="22:25" ht="15">
      <c r="V422" t="str">
        <f t="shared" si="6"/>
        <v>Kilograms &lt;&lt;&lt;&gt;&gt;&gt; Slug</v>
      </c>
      <c r="W422" t="s">
        <v>82</v>
      </c>
      <c r="X422" t="s">
        <v>467</v>
      </c>
      <c r="Y422">
        <v>0.06852178</v>
      </c>
    </row>
    <row r="423" spans="22:25" ht="15">
      <c r="V423" t="str">
        <f t="shared" si="6"/>
        <v>Kilograms &lt;&lt;&lt;&gt;&gt;&gt; Tonne</v>
      </c>
      <c r="W423" t="s">
        <v>82</v>
      </c>
      <c r="X423" t="s">
        <v>468</v>
      </c>
      <c r="Y423">
        <v>0.001</v>
      </c>
    </row>
    <row r="424" spans="22:25" ht="15">
      <c r="V424" t="str">
        <f t="shared" si="6"/>
        <v>Kilograms &lt;&lt;&lt;&gt;&gt;&gt; Tons (long)</v>
      </c>
      <c r="W424" t="s">
        <v>82</v>
      </c>
      <c r="X424" t="s">
        <v>469</v>
      </c>
      <c r="Y424">
        <v>0.0009842064</v>
      </c>
    </row>
    <row r="425" spans="22:25" ht="15">
      <c r="V425" t="str">
        <f t="shared" si="6"/>
        <v>Kilograms &lt;&lt;&lt;&gt;&gt;&gt; Tons (metric)</v>
      </c>
      <c r="W425" t="s">
        <v>82</v>
      </c>
      <c r="X425" t="s">
        <v>470</v>
      </c>
      <c r="Y425">
        <v>0.001</v>
      </c>
    </row>
    <row r="426" spans="22:25" ht="15">
      <c r="V426" t="str">
        <f t="shared" si="6"/>
        <v>Kilograms &lt;&lt;&lt;&gt;&gt;&gt; Tons (short)</v>
      </c>
      <c r="W426" t="s">
        <v>82</v>
      </c>
      <c r="X426" t="s">
        <v>471</v>
      </c>
      <c r="Y426">
        <v>0.001102311</v>
      </c>
    </row>
    <row r="427" spans="22:25" ht="15">
      <c r="V427" t="str">
        <f t="shared" si="6"/>
        <v>Kilograms  &lt;&lt;&lt;&gt;&gt;&gt; Dynes </v>
      </c>
      <c r="W427" t="s">
        <v>364</v>
      </c>
      <c r="X427" t="s">
        <v>363</v>
      </c>
      <c r="Y427">
        <v>980665</v>
      </c>
    </row>
    <row r="428" spans="22:25" ht="15">
      <c r="V428" t="str">
        <f t="shared" si="6"/>
        <v>Kilograms  &lt;&lt;&lt;&gt;&gt;&gt; Grams </v>
      </c>
      <c r="W428" t="s">
        <v>364</v>
      </c>
      <c r="X428" t="s">
        <v>254</v>
      </c>
      <c r="Y428">
        <v>1000</v>
      </c>
    </row>
    <row r="429" spans="22:25" ht="15">
      <c r="V429" t="str">
        <f t="shared" si="6"/>
        <v>Kilograms  &lt;&lt;&lt;&gt;&gt;&gt; joules/cm </v>
      </c>
      <c r="W429" t="s">
        <v>364</v>
      </c>
      <c r="X429" t="s">
        <v>472</v>
      </c>
      <c r="Y429">
        <v>0.09807</v>
      </c>
    </row>
    <row r="430" spans="22:25" ht="15">
      <c r="V430" t="str">
        <f t="shared" si="6"/>
        <v>Kilograms  &lt;&lt;&lt;&gt;&gt;&gt; joules/meter (newtons) </v>
      </c>
      <c r="W430" t="s">
        <v>364</v>
      </c>
      <c r="X430" t="s">
        <v>473</v>
      </c>
      <c r="Y430">
        <v>9.807</v>
      </c>
    </row>
    <row r="431" spans="22:25" ht="15">
      <c r="V431" t="str">
        <f t="shared" si="6"/>
        <v>Kilograms  &lt;&lt;&lt;&gt;&gt;&gt; Poundals </v>
      </c>
      <c r="W431" t="s">
        <v>364</v>
      </c>
      <c r="X431" t="s">
        <v>365</v>
      </c>
      <c r="Y431">
        <v>70.93</v>
      </c>
    </row>
    <row r="432" spans="22:25" ht="15">
      <c r="V432" t="str">
        <f t="shared" si="6"/>
        <v>Kilograms  &lt;&lt;&lt;&gt;&gt;&gt; Pounds </v>
      </c>
      <c r="W432" t="s">
        <v>364</v>
      </c>
      <c r="X432" t="s">
        <v>366</v>
      </c>
      <c r="Y432">
        <v>2.205</v>
      </c>
    </row>
    <row r="433" spans="22:25" ht="15">
      <c r="V433" t="str">
        <f t="shared" si="6"/>
        <v>Kilograms  &lt;&lt;&lt;&gt;&gt;&gt; Tons (long) </v>
      </c>
      <c r="W433" t="s">
        <v>364</v>
      </c>
      <c r="X433" t="s">
        <v>450</v>
      </c>
      <c r="Y433">
        <v>0.000984</v>
      </c>
    </row>
    <row r="434" spans="22:25" ht="15">
      <c r="V434" t="str">
        <f t="shared" si="6"/>
        <v>Kilograms  &lt;&lt;&lt;&gt;&gt;&gt; Tons (short) </v>
      </c>
      <c r="W434" t="s">
        <v>364</v>
      </c>
      <c r="X434" t="s">
        <v>474</v>
      </c>
      <c r="Y434">
        <v>0.0011</v>
      </c>
    </row>
    <row r="435" spans="22:25" ht="15">
      <c r="V435" t="str">
        <f t="shared" si="6"/>
        <v>Kilograms per Cubic Meter &lt;&lt;&lt;&gt;&gt;&gt; Pounds per Cubic Feet</v>
      </c>
      <c r="W435" t="s">
        <v>475</v>
      </c>
      <c r="X435" t="s">
        <v>476</v>
      </c>
      <c r="Y435">
        <v>0.06242797</v>
      </c>
    </row>
    <row r="436" spans="22:25" ht="15">
      <c r="V436" t="str">
        <f t="shared" si="6"/>
        <v>Kilograms per Cubic Meter &lt;&lt;&lt;&gt;&gt;&gt; Pounds per Gallon (U.K. liquid)</v>
      </c>
      <c r="W436" t="s">
        <v>475</v>
      </c>
      <c r="X436" t="s">
        <v>477</v>
      </c>
      <c r="Y436">
        <v>0.01002242</v>
      </c>
    </row>
    <row r="437" spans="22:25" ht="15">
      <c r="V437" t="str">
        <f t="shared" si="6"/>
        <v>Kilograms per Cubic Meter &lt;&lt;&lt;&gt;&gt;&gt; Pounds per Gallon (U.S. liquid)</v>
      </c>
      <c r="W437" t="s">
        <v>475</v>
      </c>
      <c r="X437" t="s">
        <v>478</v>
      </c>
      <c r="Y437">
        <v>0.008345406</v>
      </c>
    </row>
    <row r="438" spans="22:25" ht="15">
      <c r="V438" t="str">
        <f t="shared" si="6"/>
        <v>Kilograms/cu meter  &lt;&lt;&lt;&gt;&gt;&gt; grams/cu cm </v>
      </c>
      <c r="W438" t="s">
        <v>479</v>
      </c>
      <c r="X438" t="s">
        <v>480</v>
      </c>
      <c r="Y438">
        <v>0.001</v>
      </c>
    </row>
    <row r="439" spans="22:25" ht="15">
      <c r="V439" t="str">
        <f t="shared" si="6"/>
        <v>Kilograms/cu meter  &lt;&lt;&lt;&gt;&gt;&gt; Pound/cu Foot </v>
      </c>
      <c r="W439" t="s">
        <v>479</v>
      </c>
      <c r="X439" t="s">
        <v>481</v>
      </c>
      <c r="Y439">
        <v>0.06243</v>
      </c>
    </row>
    <row r="440" spans="22:25" ht="15">
      <c r="V440" t="str">
        <f t="shared" si="6"/>
        <v>Kilograms/cu meter  &lt;&lt;&lt;&gt;&gt;&gt; Pounds/cu Inch </v>
      </c>
      <c r="W440" t="s">
        <v>479</v>
      </c>
      <c r="X440" t="s">
        <v>482</v>
      </c>
      <c r="Y440">
        <v>3.61E-05</v>
      </c>
    </row>
    <row r="441" spans="22:25" ht="15">
      <c r="V441" t="str">
        <f t="shared" si="6"/>
        <v>Kilograms/cu meter  &lt;&lt;&lt;&gt;&gt;&gt; Pounds/mil-foot </v>
      </c>
      <c r="W441" t="s">
        <v>479</v>
      </c>
      <c r="X441" t="s">
        <v>483</v>
      </c>
      <c r="Y441">
        <v>3.41E-10</v>
      </c>
    </row>
    <row r="442" spans="22:25" ht="15">
      <c r="V442" t="str">
        <f t="shared" si="6"/>
        <v>Kilograms/cu meter  &lt;&lt;&lt;&gt;&gt;&gt; Pounds/sq Foot </v>
      </c>
      <c r="W442" t="s">
        <v>479</v>
      </c>
      <c r="X442" t="s">
        <v>484</v>
      </c>
      <c r="Y442">
        <v>0.2048</v>
      </c>
    </row>
    <row r="443" spans="22:25" ht="15">
      <c r="V443" t="str">
        <f t="shared" si="6"/>
        <v>Kilograms/cu meter  &lt;&lt;&lt;&gt;&gt;&gt; Pounds/sq Inch </v>
      </c>
      <c r="W443" t="s">
        <v>479</v>
      </c>
      <c r="X443" t="s">
        <v>485</v>
      </c>
      <c r="Y443">
        <v>0.00142</v>
      </c>
    </row>
    <row r="444" spans="22:25" ht="15">
      <c r="V444" t="str">
        <f t="shared" si="6"/>
        <v>Kilograms/meter  &lt;&lt;&lt;&gt;&gt;&gt; Pounds/Foot </v>
      </c>
      <c r="W444" t="s">
        <v>486</v>
      </c>
      <c r="X444" t="s">
        <v>487</v>
      </c>
      <c r="Y444">
        <v>0.672</v>
      </c>
    </row>
    <row r="445" spans="22:25" ht="15">
      <c r="V445" t="str">
        <f t="shared" si="6"/>
        <v>Kilograms/sq Centimeter &lt;&lt;&lt;&gt;&gt;&gt; Dynes</v>
      </c>
      <c r="W445" t="s">
        <v>488</v>
      </c>
      <c r="X445" t="s">
        <v>358</v>
      </c>
      <c r="Y445">
        <v>980665</v>
      </c>
    </row>
    <row r="446" spans="22:25" ht="15">
      <c r="V446" t="str">
        <f t="shared" si="6"/>
        <v>Kilograms/sq cm  &lt;&lt;&lt;&gt;&gt;&gt; Pounds/sq Foot </v>
      </c>
      <c r="W446" t="s">
        <v>489</v>
      </c>
      <c r="X446" t="s">
        <v>484</v>
      </c>
      <c r="Y446">
        <v>2048</v>
      </c>
    </row>
    <row r="447" spans="22:25" ht="15">
      <c r="V447" t="str">
        <f t="shared" si="6"/>
        <v>Kilograms/sq cm  &lt;&lt;&lt;&gt;&gt;&gt; Pounds/sq Inch </v>
      </c>
      <c r="W447" t="s">
        <v>489</v>
      </c>
      <c r="X447" t="s">
        <v>485</v>
      </c>
      <c r="Y447">
        <v>14.22</v>
      </c>
    </row>
    <row r="448" spans="22:25" ht="15">
      <c r="V448" t="str">
        <f t="shared" si="6"/>
        <v>Kilograms/sq mm  &lt;&lt;&lt;&gt;&gt;&gt; Kgs/sq meter </v>
      </c>
      <c r="W448" t="s">
        <v>490</v>
      </c>
      <c r="X448" t="s">
        <v>491</v>
      </c>
      <c r="Y448">
        <v>1000000</v>
      </c>
    </row>
    <row r="449" spans="22:25" ht="15">
      <c r="V449" t="str">
        <f t="shared" si="6"/>
        <v>Kilograms-Force &lt;&lt;&lt;&gt;&gt;&gt; Newtons (N)</v>
      </c>
      <c r="W449" t="s">
        <v>492</v>
      </c>
      <c r="X449" t="s">
        <v>361</v>
      </c>
      <c r="Y449">
        <v>9.80665</v>
      </c>
    </row>
    <row r="450" spans="22:25" ht="15">
      <c r="V450" t="str">
        <f t="shared" si="6"/>
        <v>Kiloliters  &lt;&lt;&lt;&gt;&gt;&gt; Liters </v>
      </c>
      <c r="W450" t="s">
        <v>493</v>
      </c>
      <c r="X450" t="s">
        <v>239</v>
      </c>
      <c r="Y450">
        <v>1000</v>
      </c>
    </row>
    <row r="451" spans="22:25" ht="15">
      <c r="V451" t="str">
        <f aca="true" t="shared" si="7" ref="V451:V514">IF(W451="","",W451&amp;" &lt;&lt;&lt;&gt;&gt;&gt; "&amp;X451)</f>
        <v>Kilometers  &lt;&lt;&lt;&gt;&gt;&gt; Astronomical unit </v>
      </c>
      <c r="W451" t="s">
        <v>494</v>
      </c>
      <c r="X451" t="s">
        <v>495</v>
      </c>
      <c r="Y451">
        <v>6.68E-09</v>
      </c>
    </row>
    <row r="452" spans="22:25" ht="15">
      <c r="V452" t="str">
        <f t="shared" si="7"/>
        <v>Kilometers  &lt;&lt;&lt;&gt;&gt;&gt; Centimeters </v>
      </c>
      <c r="W452" t="s">
        <v>494</v>
      </c>
      <c r="X452" t="s">
        <v>496</v>
      </c>
      <c r="Y452">
        <v>100000</v>
      </c>
    </row>
    <row r="453" spans="22:25" ht="15">
      <c r="V453" t="str">
        <f t="shared" si="7"/>
        <v>Kilometers  &lt;&lt;&lt;&gt;&gt;&gt; Feet </v>
      </c>
      <c r="W453" t="s">
        <v>494</v>
      </c>
      <c r="X453" t="s">
        <v>497</v>
      </c>
      <c r="Y453">
        <v>3280.84</v>
      </c>
    </row>
    <row r="454" spans="22:25" ht="15">
      <c r="V454" t="str">
        <f t="shared" si="7"/>
        <v>Kilometers  &lt;&lt;&lt;&gt;&gt;&gt; Inches </v>
      </c>
      <c r="W454" t="s">
        <v>494</v>
      </c>
      <c r="X454" t="s">
        <v>498</v>
      </c>
      <c r="Y454">
        <v>39400</v>
      </c>
    </row>
    <row r="455" spans="22:25" ht="15">
      <c r="V455" t="str">
        <f t="shared" si="7"/>
        <v>Kilometers  &lt;&lt;&lt;&gt;&gt;&gt; Light year </v>
      </c>
      <c r="W455" t="s">
        <v>494</v>
      </c>
      <c r="X455" t="s">
        <v>499</v>
      </c>
      <c r="Y455">
        <v>1.06E-13</v>
      </c>
    </row>
    <row r="456" spans="22:25" ht="15">
      <c r="V456" t="str">
        <f t="shared" si="7"/>
        <v>Kilometers  &lt;&lt;&lt;&gt;&gt;&gt; Meters </v>
      </c>
      <c r="W456" t="s">
        <v>494</v>
      </c>
      <c r="X456" t="s">
        <v>500</v>
      </c>
      <c r="Y456">
        <v>1000</v>
      </c>
    </row>
    <row r="457" spans="22:25" ht="15">
      <c r="V457" t="str">
        <f t="shared" si="7"/>
        <v>Kilometers  &lt;&lt;&lt;&gt;&gt;&gt; Miles (U.S. statute)</v>
      </c>
      <c r="W457" t="s">
        <v>494</v>
      </c>
      <c r="X457" t="s">
        <v>501</v>
      </c>
      <c r="Y457">
        <v>0.6213712</v>
      </c>
    </row>
    <row r="458" spans="22:25" ht="15">
      <c r="V458" t="str">
        <f t="shared" si="7"/>
        <v>Kilometers  &lt;&lt;&lt;&gt;&gt;&gt; Millimeters </v>
      </c>
      <c r="W458" t="s">
        <v>494</v>
      </c>
      <c r="X458" t="s">
        <v>502</v>
      </c>
      <c r="Y458">
        <v>1000000</v>
      </c>
    </row>
    <row r="459" spans="22:25" ht="15">
      <c r="V459" t="str">
        <f t="shared" si="7"/>
        <v>Kilometers  &lt;&lt;&lt;&gt;&gt;&gt; Yards </v>
      </c>
      <c r="W459" t="s">
        <v>494</v>
      </c>
      <c r="X459" t="s">
        <v>503</v>
      </c>
      <c r="Y459">
        <v>1094</v>
      </c>
    </row>
    <row r="460" spans="22:25" ht="15">
      <c r="V460" t="str">
        <f t="shared" si="7"/>
        <v>Kilometers per Hour &lt;&lt;&lt;&gt;&gt;&gt; Miles per Hour (U.S. statute)</v>
      </c>
      <c r="W460" t="s">
        <v>504</v>
      </c>
      <c r="X460" t="s">
        <v>505</v>
      </c>
      <c r="Y460">
        <v>0.6213712</v>
      </c>
    </row>
    <row r="461" spans="22:25" ht="15">
      <c r="V461" t="str">
        <f t="shared" si="7"/>
        <v>Kilometers/Hour  &lt;&lt;&lt;&gt;&gt;&gt; Centimeters/Seconds </v>
      </c>
      <c r="W461" t="s">
        <v>273</v>
      </c>
      <c r="X461" t="s">
        <v>270</v>
      </c>
      <c r="Y461">
        <v>27.78</v>
      </c>
    </row>
    <row r="462" spans="22:25" ht="15">
      <c r="V462" t="str">
        <f t="shared" si="7"/>
        <v>Kilometers/Hour  &lt;&lt;&lt;&gt;&gt;&gt; Feet/Minutes </v>
      </c>
      <c r="W462" t="s">
        <v>273</v>
      </c>
      <c r="X462" t="s">
        <v>271</v>
      </c>
      <c r="Y462">
        <v>54.68</v>
      </c>
    </row>
    <row r="463" spans="22:25" ht="15">
      <c r="V463" t="str">
        <f t="shared" si="7"/>
        <v>Kilometers/Hour  &lt;&lt;&lt;&gt;&gt;&gt; Feet/Seconds </v>
      </c>
      <c r="W463" t="s">
        <v>273</v>
      </c>
      <c r="X463" t="s">
        <v>272</v>
      </c>
      <c r="Y463">
        <v>0.9113</v>
      </c>
    </row>
    <row r="464" spans="22:25" ht="15">
      <c r="V464" t="str">
        <f t="shared" si="7"/>
        <v>Kilometers/Hour  &lt;&lt;&lt;&gt;&gt;&gt; Knots </v>
      </c>
      <c r="W464" t="s">
        <v>273</v>
      </c>
      <c r="X464" t="s">
        <v>274</v>
      </c>
      <c r="Y464">
        <v>0.5396</v>
      </c>
    </row>
    <row r="465" spans="22:25" ht="15">
      <c r="V465" t="str">
        <f t="shared" si="7"/>
        <v>Kilometers/Hour  &lt;&lt;&lt;&gt;&gt;&gt; Meters/Minutes </v>
      </c>
      <c r="W465" t="s">
        <v>273</v>
      </c>
      <c r="X465" t="s">
        <v>275</v>
      </c>
      <c r="Y465">
        <v>16.67</v>
      </c>
    </row>
    <row r="466" spans="22:25" ht="15">
      <c r="V466" t="str">
        <f t="shared" si="7"/>
        <v>Kilometers/Hour  &lt;&lt;&lt;&gt;&gt;&gt; Miles/Hour </v>
      </c>
      <c r="W466" t="s">
        <v>273</v>
      </c>
      <c r="X466" t="s">
        <v>276</v>
      </c>
      <c r="Y466">
        <v>0.6214</v>
      </c>
    </row>
    <row r="467" spans="22:25" ht="15">
      <c r="V467" t="str">
        <f t="shared" si="7"/>
        <v>Kilometers/Hour/Seconds  &lt;&lt;&lt;&gt;&gt;&gt; Centimeters/Hour/Seconds </v>
      </c>
      <c r="W467" t="s">
        <v>280</v>
      </c>
      <c r="X467" t="s">
        <v>506</v>
      </c>
      <c r="Y467">
        <v>27.78</v>
      </c>
    </row>
    <row r="468" spans="22:25" ht="15">
      <c r="V468" t="str">
        <f t="shared" si="7"/>
        <v>Kilometers/Hour/Seconds  &lt;&lt;&lt;&gt;&gt;&gt; Feet/Seconds/Seconds </v>
      </c>
      <c r="W468" t="s">
        <v>280</v>
      </c>
      <c r="X468" t="s">
        <v>279</v>
      </c>
      <c r="Y468">
        <v>0.9113</v>
      </c>
    </row>
    <row r="469" spans="22:25" ht="15">
      <c r="V469" t="str">
        <f t="shared" si="7"/>
        <v>Kilometers/Hour/Seconds  &lt;&lt;&lt;&gt;&gt;&gt; meters/Seconds/Seconds </v>
      </c>
      <c r="W469" t="s">
        <v>280</v>
      </c>
      <c r="X469" t="s">
        <v>281</v>
      </c>
      <c r="Y469">
        <v>0.2778</v>
      </c>
    </row>
    <row r="470" spans="22:25" ht="15">
      <c r="V470" t="str">
        <f t="shared" si="7"/>
        <v>Kilometers/Hour/Seconds  &lt;&lt;&lt;&gt;&gt;&gt; Miles/Hour/Seconds </v>
      </c>
      <c r="W470" t="s">
        <v>280</v>
      </c>
      <c r="X470" t="s">
        <v>282</v>
      </c>
      <c r="Y470">
        <v>0.6214</v>
      </c>
    </row>
    <row r="471" spans="22:25" ht="15">
      <c r="V471" t="str">
        <f t="shared" si="7"/>
        <v>Kilopond &lt;&lt;&lt;&gt;&gt;&gt; Newtons (N)</v>
      </c>
      <c r="W471" t="s">
        <v>507</v>
      </c>
      <c r="X471" t="s">
        <v>361</v>
      </c>
      <c r="Y471">
        <v>9.80665</v>
      </c>
    </row>
    <row r="472" spans="22:25" ht="15">
      <c r="V472" t="str">
        <f t="shared" si="7"/>
        <v>Kilowatt-Hours  &lt;&lt;&lt;&gt;&gt;&gt; BTU </v>
      </c>
      <c r="W472" t="s">
        <v>1141</v>
      </c>
      <c r="X472" t="s">
        <v>1133</v>
      </c>
      <c r="Y472">
        <v>3413</v>
      </c>
    </row>
    <row r="473" spans="22:25" ht="15">
      <c r="V473" t="str">
        <f t="shared" si="7"/>
        <v>Kilowatt-Hours  &lt;&lt;&lt;&gt;&gt;&gt; Ergs </v>
      </c>
      <c r="W473" t="s">
        <v>1141</v>
      </c>
      <c r="X473" t="s">
        <v>1134</v>
      </c>
      <c r="Y473">
        <v>36000000000000</v>
      </c>
    </row>
    <row r="474" spans="22:25" ht="15">
      <c r="V474" t="str">
        <f t="shared" si="7"/>
        <v>Kilowatt-Hours  &lt;&lt;&lt;&gt;&gt;&gt; Foot-lbs </v>
      </c>
      <c r="W474" t="s">
        <v>1141</v>
      </c>
      <c r="X474" t="s">
        <v>1135</v>
      </c>
      <c r="Y474">
        <v>2660000</v>
      </c>
    </row>
    <row r="475" spans="22:25" ht="15">
      <c r="V475" t="str">
        <f t="shared" si="7"/>
        <v>Kilowatt-Hours  &lt;&lt;&lt;&gt;&gt;&gt; Gram-Calories </v>
      </c>
      <c r="W475" t="s">
        <v>1141</v>
      </c>
      <c r="X475" t="s">
        <v>1136</v>
      </c>
      <c r="Y475">
        <v>859850</v>
      </c>
    </row>
    <row r="476" spans="22:25" ht="15">
      <c r="V476" t="str">
        <f t="shared" si="7"/>
        <v>Kilowatt-Hours  &lt;&lt;&lt;&gt;&gt;&gt; HorsePower-Hours </v>
      </c>
      <c r="W476" t="s">
        <v>1141</v>
      </c>
      <c r="X476" t="s">
        <v>1137</v>
      </c>
      <c r="Y476">
        <v>1.341</v>
      </c>
    </row>
    <row r="477" spans="22:25" ht="15">
      <c r="V477" t="str">
        <f t="shared" si="7"/>
        <v>Kilowatt-Hours  &lt;&lt;&lt;&gt;&gt;&gt; Joules </v>
      </c>
      <c r="W477" t="s">
        <v>1141</v>
      </c>
      <c r="X477" t="s">
        <v>1138</v>
      </c>
      <c r="Y477">
        <v>3600000</v>
      </c>
    </row>
    <row r="478" spans="22:25" ht="15">
      <c r="V478" t="str">
        <f t="shared" si="7"/>
        <v>Kilowatt-Hours  &lt;&lt;&lt;&gt;&gt;&gt; Kilogram-Calories </v>
      </c>
      <c r="W478" t="s">
        <v>1141</v>
      </c>
      <c r="X478" t="s">
        <v>1139</v>
      </c>
      <c r="Y478">
        <v>860.5</v>
      </c>
    </row>
    <row r="479" spans="22:25" ht="15">
      <c r="V479" t="str">
        <f t="shared" si="7"/>
        <v>Kilowatt-Hours  &lt;&lt;&lt;&gt;&gt;&gt; Kilogram-meters </v>
      </c>
      <c r="W479" t="s">
        <v>1141</v>
      </c>
      <c r="X479" t="s">
        <v>1140</v>
      </c>
      <c r="Y479">
        <v>367000</v>
      </c>
    </row>
    <row r="480" spans="22:25" ht="15">
      <c r="V480" t="str">
        <f t="shared" si="7"/>
        <v>Kilowatt-Hours  &lt;&lt;&lt;&gt;&gt;&gt; lbs of water ^ from 62ø-212øF</v>
      </c>
      <c r="W480" t="s">
        <v>1141</v>
      </c>
      <c r="X480" t="s">
        <v>508</v>
      </c>
      <c r="Y480">
        <v>22.75</v>
      </c>
    </row>
    <row r="481" spans="22:25" ht="15">
      <c r="V481" t="str">
        <f t="shared" si="7"/>
        <v>Kilowatt-Hours  &lt;&lt;&lt;&gt;&gt;&gt; lbs of water evap. at 212øF</v>
      </c>
      <c r="W481" t="s">
        <v>1141</v>
      </c>
      <c r="X481" t="s">
        <v>509</v>
      </c>
      <c r="Y481">
        <v>3.53</v>
      </c>
    </row>
    <row r="482" spans="22:25" ht="15">
      <c r="V482" t="str">
        <f t="shared" si="7"/>
        <v>Kilowatts  &lt;&lt;&lt;&gt;&gt;&gt; BTU/Minute </v>
      </c>
      <c r="W482" t="s">
        <v>233</v>
      </c>
      <c r="X482" t="s">
        <v>230</v>
      </c>
      <c r="Y482">
        <v>56.92</v>
      </c>
    </row>
    <row r="483" spans="22:25" ht="15">
      <c r="V483" t="str">
        <f t="shared" si="7"/>
        <v>Kilowatts  &lt;&lt;&lt;&gt;&gt;&gt; Foot-lbs/Minute </v>
      </c>
      <c r="W483" t="s">
        <v>233</v>
      </c>
      <c r="X483" t="s">
        <v>439</v>
      </c>
      <c r="Y483">
        <v>44300</v>
      </c>
    </row>
    <row r="484" spans="22:25" ht="15">
      <c r="V484" t="str">
        <f t="shared" si="7"/>
        <v>Kilowatts  &lt;&lt;&lt;&gt;&gt;&gt; Foot-lbs/Second </v>
      </c>
      <c r="W484" t="s">
        <v>233</v>
      </c>
      <c r="X484" t="s">
        <v>231</v>
      </c>
      <c r="Y484">
        <v>737.6</v>
      </c>
    </row>
    <row r="485" spans="22:25" ht="15">
      <c r="V485" t="str">
        <f t="shared" si="7"/>
        <v>Kilowatts  &lt;&lt;&lt;&gt;&gt;&gt; HorsePower </v>
      </c>
      <c r="W485" t="s">
        <v>233</v>
      </c>
      <c r="X485" t="s">
        <v>232</v>
      </c>
      <c r="Y485">
        <v>1.341</v>
      </c>
    </row>
    <row r="486" spans="22:25" ht="15">
      <c r="V486" t="str">
        <f t="shared" si="7"/>
        <v>Kilowatts  &lt;&lt;&lt;&gt;&gt;&gt; Kilogram-Calories/Minute </v>
      </c>
      <c r="W486" t="s">
        <v>233</v>
      </c>
      <c r="X486" t="s">
        <v>440</v>
      </c>
      <c r="Y486">
        <v>14.34</v>
      </c>
    </row>
    <row r="487" spans="22:25" ht="15">
      <c r="V487" t="str">
        <f t="shared" si="7"/>
        <v>Kilowatts  &lt;&lt;&lt;&gt;&gt;&gt; Watts </v>
      </c>
      <c r="W487" t="s">
        <v>233</v>
      </c>
      <c r="X487" t="s">
        <v>229</v>
      </c>
      <c r="Y487">
        <v>1000</v>
      </c>
    </row>
    <row r="488" spans="22:25" ht="15">
      <c r="V488" t="str">
        <f t="shared" si="7"/>
        <v>Knots  &lt;&lt;&lt;&gt;&gt;&gt; Feet/Hour </v>
      </c>
      <c r="W488" t="s">
        <v>274</v>
      </c>
      <c r="X488" t="s">
        <v>510</v>
      </c>
      <c r="Y488">
        <v>6080</v>
      </c>
    </row>
    <row r="489" spans="22:25" ht="15">
      <c r="V489" t="str">
        <f t="shared" si="7"/>
        <v>Knots  &lt;&lt;&lt;&gt;&gt;&gt; Feet/Seconds </v>
      </c>
      <c r="W489" t="s">
        <v>274</v>
      </c>
      <c r="X489" t="s">
        <v>272</v>
      </c>
      <c r="Y489">
        <v>1.689</v>
      </c>
    </row>
    <row r="490" spans="22:25" ht="15">
      <c r="V490" t="str">
        <f t="shared" si="7"/>
        <v>Knots  &lt;&lt;&lt;&gt;&gt;&gt; Kilometers/Hour </v>
      </c>
      <c r="W490" t="s">
        <v>274</v>
      </c>
      <c r="X490" t="s">
        <v>273</v>
      </c>
      <c r="Y490">
        <v>1.8532</v>
      </c>
    </row>
    <row r="491" spans="22:25" ht="15">
      <c r="V491" t="str">
        <f t="shared" si="7"/>
        <v>Knots  &lt;&lt;&lt;&gt;&gt;&gt; Nautical Miles/Hour </v>
      </c>
      <c r="W491" t="s">
        <v>274</v>
      </c>
      <c r="X491" t="s">
        <v>511</v>
      </c>
      <c r="Y491">
        <v>1</v>
      </c>
    </row>
    <row r="492" spans="22:25" ht="15">
      <c r="V492" t="str">
        <f t="shared" si="7"/>
        <v>Knots  &lt;&lt;&lt;&gt;&gt;&gt; Statute Miles/Hour </v>
      </c>
      <c r="W492" t="s">
        <v>274</v>
      </c>
      <c r="X492" t="s">
        <v>512</v>
      </c>
      <c r="Y492">
        <v>1.151</v>
      </c>
    </row>
    <row r="493" spans="22:25" ht="15">
      <c r="V493" t="str">
        <f t="shared" si="7"/>
        <v>Knots  &lt;&lt;&lt;&gt;&gt;&gt; Yards/Hour </v>
      </c>
      <c r="W493" t="s">
        <v>274</v>
      </c>
      <c r="X493" t="s">
        <v>513</v>
      </c>
      <c r="Y493">
        <v>2027</v>
      </c>
    </row>
    <row r="494" spans="22:25" ht="15">
      <c r="V494" t="str">
        <f t="shared" si="7"/>
        <v>League &lt;&lt;&lt;&gt;&gt;&gt; Miles</v>
      </c>
      <c r="W494" t="s">
        <v>514</v>
      </c>
      <c r="X494" t="s">
        <v>68</v>
      </c>
      <c r="Y494">
        <v>3</v>
      </c>
    </row>
    <row r="495" spans="22:25" ht="15">
      <c r="V495" t="str">
        <f t="shared" si="7"/>
        <v>Light-year  &lt;&lt;&lt;&gt;&gt;&gt; Kilometers </v>
      </c>
      <c r="W495" t="s">
        <v>515</v>
      </c>
      <c r="X495" t="s">
        <v>494</v>
      </c>
      <c r="Y495">
        <v>9460000000000</v>
      </c>
    </row>
    <row r="496" spans="22:25" ht="15">
      <c r="V496" t="str">
        <f t="shared" si="7"/>
        <v>Light-year  &lt;&lt;&lt;&gt;&gt;&gt; Miles </v>
      </c>
      <c r="W496" t="s">
        <v>515</v>
      </c>
      <c r="X496" t="s">
        <v>516</v>
      </c>
      <c r="Y496">
        <v>5900000000000</v>
      </c>
    </row>
    <row r="497" spans="22:25" ht="15">
      <c r="V497" t="str">
        <f t="shared" si="7"/>
        <v>Links (engineer's)  &lt;&lt;&lt;&gt;&gt;&gt; Inches </v>
      </c>
      <c r="W497" t="s">
        <v>517</v>
      </c>
      <c r="X497" t="s">
        <v>498</v>
      </c>
      <c r="Y497">
        <v>12</v>
      </c>
    </row>
    <row r="498" spans="22:25" ht="15">
      <c r="V498" t="str">
        <f t="shared" si="7"/>
        <v>Links (surveyor's)  &lt;&lt;&lt;&gt;&gt;&gt; Inches </v>
      </c>
      <c r="W498" t="s">
        <v>518</v>
      </c>
      <c r="X498" t="s">
        <v>498</v>
      </c>
      <c r="Y498">
        <v>7.92</v>
      </c>
    </row>
    <row r="499" spans="22:25" ht="15">
      <c r="V499" t="str">
        <f t="shared" si="7"/>
        <v>Liters  &lt;&lt;&lt;&gt;&gt;&gt; Bushels (U.S. dry) </v>
      </c>
      <c r="W499" t="s">
        <v>239</v>
      </c>
      <c r="X499" t="s">
        <v>519</v>
      </c>
      <c r="Y499">
        <v>0.02838</v>
      </c>
    </row>
    <row r="500" spans="22:25" ht="15">
      <c r="V500" t="str">
        <f t="shared" si="7"/>
        <v>Liters  &lt;&lt;&lt;&gt;&gt;&gt; Cubic cm </v>
      </c>
      <c r="W500" t="s">
        <v>239</v>
      </c>
      <c r="X500" t="s">
        <v>407</v>
      </c>
      <c r="Y500">
        <v>1000</v>
      </c>
    </row>
    <row r="501" spans="22:25" ht="15">
      <c r="V501" t="str">
        <f t="shared" si="7"/>
        <v>Liters  &lt;&lt;&lt;&gt;&gt;&gt; Cubic Feet </v>
      </c>
      <c r="W501" t="s">
        <v>239</v>
      </c>
      <c r="X501" t="s">
        <v>1093</v>
      </c>
      <c r="Y501">
        <v>0.03531466</v>
      </c>
    </row>
    <row r="502" spans="22:25" ht="15">
      <c r="V502" t="str">
        <f t="shared" si="7"/>
        <v>Liters  &lt;&lt;&lt;&gt;&gt;&gt; Cubic Inches </v>
      </c>
      <c r="W502" t="s">
        <v>239</v>
      </c>
      <c r="X502" t="s">
        <v>237</v>
      </c>
      <c r="Y502">
        <v>61.02</v>
      </c>
    </row>
    <row r="503" spans="22:25" ht="15">
      <c r="V503" t="str">
        <f t="shared" si="7"/>
        <v>Liters  &lt;&lt;&lt;&gt;&gt;&gt; Cubic Meters </v>
      </c>
      <c r="W503" t="s">
        <v>239</v>
      </c>
      <c r="X503" t="s">
        <v>238</v>
      </c>
      <c r="Y503">
        <v>0.001</v>
      </c>
    </row>
    <row r="504" spans="22:25" ht="15">
      <c r="V504" t="str">
        <f t="shared" si="7"/>
        <v>Liters  &lt;&lt;&lt;&gt;&gt;&gt; Cubic Yards </v>
      </c>
      <c r="W504" t="s">
        <v>239</v>
      </c>
      <c r="X504" t="s">
        <v>306</v>
      </c>
      <c r="Y504">
        <v>0.00131</v>
      </c>
    </row>
    <row r="505" spans="22:25" ht="15">
      <c r="V505" t="str">
        <f t="shared" si="7"/>
        <v>Liters  &lt;&lt;&lt;&gt;&gt;&gt; Gallon (U.K. liquid)</v>
      </c>
      <c r="W505" t="s">
        <v>239</v>
      </c>
      <c r="X505" t="s">
        <v>325</v>
      </c>
      <c r="Y505">
        <v>0.2199692</v>
      </c>
    </row>
    <row r="506" spans="22:25" ht="15">
      <c r="V506" t="str">
        <f t="shared" si="7"/>
        <v>Liters  &lt;&lt;&lt;&gt;&gt;&gt; Gallons (U.S. liq.) </v>
      </c>
      <c r="W506" t="s">
        <v>239</v>
      </c>
      <c r="X506" t="s">
        <v>520</v>
      </c>
      <c r="Y506">
        <v>0.264172</v>
      </c>
    </row>
    <row r="507" spans="22:25" ht="15">
      <c r="V507" t="str">
        <f t="shared" si="7"/>
        <v>Liters  &lt;&lt;&lt;&gt;&gt;&gt; Pints (U.S. liq.) </v>
      </c>
      <c r="W507" t="s">
        <v>239</v>
      </c>
      <c r="X507" t="s">
        <v>521</v>
      </c>
      <c r="Y507">
        <v>2.113376</v>
      </c>
    </row>
    <row r="508" spans="22:25" ht="15">
      <c r="V508" t="str">
        <f t="shared" si="7"/>
        <v>Liters  &lt;&lt;&lt;&gt;&gt;&gt; Quarts (U.S. liq.) </v>
      </c>
      <c r="W508" t="s">
        <v>239</v>
      </c>
      <c r="X508" t="s">
        <v>522</v>
      </c>
      <c r="Y508">
        <v>1.056688</v>
      </c>
    </row>
    <row r="509" spans="22:25" ht="15">
      <c r="V509" t="str">
        <f t="shared" si="7"/>
        <v>Liters per Minute &lt;&lt;&lt;&gt;&gt;&gt; Cubic Feet per Minute</v>
      </c>
      <c r="W509" t="s">
        <v>312</v>
      </c>
      <c r="X509" t="s">
        <v>310</v>
      </c>
      <c r="Y509">
        <v>0.03531466</v>
      </c>
    </row>
    <row r="510" spans="22:25" ht="15">
      <c r="V510" t="str">
        <f t="shared" si="7"/>
        <v>Liters per Minute &lt;&lt;&lt;&gt;&gt;&gt; Gallon (U.S. liquid) per Minute</v>
      </c>
      <c r="W510" t="s">
        <v>312</v>
      </c>
      <c r="X510" t="s">
        <v>523</v>
      </c>
      <c r="Y510">
        <v>0.264172</v>
      </c>
    </row>
    <row r="511" spans="22:25" ht="15">
      <c r="V511" t="str">
        <f t="shared" si="7"/>
        <v>Liters per Second &lt;&lt;&lt;&gt;&gt;&gt; Gallon (U.S. liquid) per Minute</v>
      </c>
      <c r="W511" t="s">
        <v>396</v>
      </c>
      <c r="X511" t="s">
        <v>523</v>
      </c>
      <c r="Y511">
        <v>15.85032</v>
      </c>
    </row>
    <row r="512" spans="22:25" ht="15">
      <c r="V512" t="str">
        <f t="shared" si="7"/>
        <v>Liters/Minute  &lt;&lt;&lt;&gt;&gt;&gt; Cubic Feet/Second </v>
      </c>
      <c r="W512" t="s">
        <v>524</v>
      </c>
      <c r="X512" t="s">
        <v>318</v>
      </c>
      <c r="Y512">
        <v>0.000589</v>
      </c>
    </row>
    <row r="513" spans="22:25" ht="15">
      <c r="V513" t="str">
        <f t="shared" si="7"/>
        <v>Liters/Minute  &lt;&lt;&lt;&gt;&gt;&gt; Gallons/Second </v>
      </c>
      <c r="W513" t="s">
        <v>524</v>
      </c>
      <c r="X513" t="s">
        <v>315</v>
      </c>
      <c r="Y513">
        <v>0.0044</v>
      </c>
    </row>
    <row r="514" spans="22:25" ht="15">
      <c r="V514" t="str">
        <f t="shared" si="7"/>
        <v>Lumen  &lt;&lt;&lt;&gt;&gt;&gt; Spherical Candle Power </v>
      </c>
      <c r="W514" t="s">
        <v>525</v>
      </c>
      <c r="X514" t="s">
        <v>526</v>
      </c>
      <c r="Y514">
        <v>0.07958</v>
      </c>
    </row>
    <row r="515" spans="22:25" ht="15">
      <c r="V515" t="str">
        <f aca="true" t="shared" si="8" ref="V515:V578">IF(W515="","",W515&amp;" &lt;&lt;&lt;&gt;&gt;&gt; "&amp;X515)</f>
        <v>Lumen  &lt;&lt;&lt;&gt;&gt;&gt; Watt </v>
      </c>
      <c r="W515" t="s">
        <v>525</v>
      </c>
      <c r="X515" t="s">
        <v>527</v>
      </c>
      <c r="Y515">
        <v>0.001496</v>
      </c>
    </row>
    <row r="516" spans="22:25" ht="15">
      <c r="V516" t="str">
        <f t="shared" si="8"/>
        <v>Lumens/sq Foot  &lt;&lt;&lt;&gt;&gt;&gt; Foot-Candles </v>
      </c>
      <c r="W516" t="s">
        <v>528</v>
      </c>
      <c r="X516" t="s">
        <v>529</v>
      </c>
      <c r="Y516">
        <v>1</v>
      </c>
    </row>
    <row r="517" spans="22:25" ht="15">
      <c r="V517" t="str">
        <f t="shared" si="8"/>
        <v>Lumens/sq Foot  &lt;&lt;&lt;&gt;&gt;&gt; Lumen/sq Meter </v>
      </c>
      <c r="W517" t="s">
        <v>528</v>
      </c>
      <c r="X517" t="s">
        <v>530</v>
      </c>
      <c r="Y517">
        <v>10.76</v>
      </c>
    </row>
    <row r="518" spans="22:25" ht="15">
      <c r="V518" t="str">
        <f t="shared" si="8"/>
        <v>Lumens/Square Foot  &lt;&lt;&lt;&gt;&gt;&gt; Foot-Candles </v>
      </c>
      <c r="W518" t="s">
        <v>531</v>
      </c>
      <c r="X518" t="s">
        <v>529</v>
      </c>
      <c r="Y518">
        <v>1</v>
      </c>
    </row>
    <row r="519" spans="22:25" ht="15">
      <c r="V519" t="str">
        <f t="shared" si="8"/>
        <v>Lumens/Square Foot  &lt;&lt;&lt;&gt;&gt;&gt; Lumen/Square Meter </v>
      </c>
      <c r="W519" t="s">
        <v>531</v>
      </c>
      <c r="X519" t="s">
        <v>388</v>
      </c>
      <c r="Y519">
        <v>10.76</v>
      </c>
    </row>
    <row r="520" spans="22:25" ht="15">
      <c r="V520" t="str">
        <f t="shared" si="8"/>
        <v>Lux  &lt;&lt;&lt;&gt;&gt;&gt; Foot-Candles </v>
      </c>
      <c r="W520" t="s">
        <v>532</v>
      </c>
      <c r="X520" t="s">
        <v>529</v>
      </c>
      <c r="Y520">
        <v>0.0929</v>
      </c>
    </row>
    <row r="521" spans="22:25" ht="15">
      <c r="V521" t="str">
        <f t="shared" si="8"/>
        <v>Megohms  &lt;&lt;&lt;&gt;&gt;&gt; Microhms </v>
      </c>
      <c r="W521" t="s">
        <v>533</v>
      </c>
      <c r="X521" t="s">
        <v>534</v>
      </c>
      <c r="Y521">
        <v>1000000000000</v>
      </c>
    </row>
    <row r="522" spans="22:25" ht="15">
      <c r="V522" t="str">
        <f t="shared" si="8"/>
        <v>Megohms  &lt;&lt;&lt;&gt;&gt;&gt; Ohms </v>
      </c>
      <c r="W522" t="s">
        <v>533</v>
      </c>
      <c r="X522" t="s">
        <v>535</v>
      </c>
      <c r="Y522">
        <v>1000000</v>
      </c>
    </row>
    <row r="523" spans="22:25" ht="15">
      <c r="V523" t="str">
        <f t="shared" si="8"/>
        <v>Meters  &lt;&lt;&lt;&gt;&gt;&gt; Fathom </v>
      </c>
      <c r="W523" t="s">
        <v>500</v>
      </c>
      <c r="X523" t="s">
        <v>536</v>
      </c>
      <c r="Y523">
        <v>0.5468066</v>
      </c>
    </row>
    <row r="524" spans="22:25" ht="15">
      <c r="V524" t="str">
        <f t="shared" si="8"/>
        <v>Meters  &lt;&lt;&lt;&gt;&gt;&gt; Feet</v>
      </c>
      <c r="W524" t="s">
        <v>500</v>
      </c>
      <c r="X524" t="s">
        <v>62</v>
      </c>
      <c r="Y524">
        <v>3.28084</v>
      </c>
    </row>
    <row r="525" spans="22:25" ht="15">
      <c r="V525" t="str">
        <f t="shared" si="8"/>
        <v>Meters  &lt;&lt;&lt;&gt;&gt;&gt; Inches </v>
      </c>
      <c r="W525" t="s">
        <v>500</v>
      </c>
      <c r="X525" t="s">
        <v>498</v>
      </c>
      <c r="Y525">
        <v>39.37008</v>
      </c>
    </row>
    <row r="526" spans="22:25" ht="15">
      <c r="V526" t="str">
        <f t="shared" si="8"/>
        <v>Meters  &lt;&lt;&lt;&gt;&gt;&gt; Kilometers </v>
      </c>
      <c r="W526" t="s">
        <v>500</v>
      </c>
      <c r="X526" t="s">
        <v>494</v>
      </c>
      <c r="Y526">
        <v>0.001</v>
      </c>
    </row>
    <row r="527" spans="22:25" ht="15">
      <c r="V527" t="str">
        <f t="shared" si="8"/>
        <v>Meters  &lt;&lt;&lt;&gt;&gt;&gt; Miles (nautical) </v>
      </c>
      <c r="W527" t="s">
        <v>500</v>
      </c>
      <c r="X527" t="s">
        <v>537</v>
      </c>
      <c r="Y527">
        <v>0.00054</v>
      </c>
    </row>
    <row r="528" spans="22:25" ht="15">
      <c r="V528" t="str">
        <f t="shared" si="8"/>
        <v>Meters  &lt;&lt;&lt;&gt;&gt;&gt; Miles (statute) </v>
      </c>
      <c r="W528" t="s">
        <v>500</v>
      </c>
      <c r="X528" t="s">
        <v>538</v>
      </c>
      <c r="Y528">
        <v>0.0006213712</v>
      </c>
    </row>
    <row r="529" spans="22:25" ht="15">
      <c r="V529" t="str">
        <f t="shared" si="8"/>
        <v>Meters  &lt;&lt;&lt;&gt;&gt;&gt; Millimeters </v>
      </c>
      <c r="W529" t="s">
        <v>500</v>
      </c>
      <c r="X529" t="s">
        <v>502</v>
      </c>
      <c r="Y529">
        <v>1000</v>
      </c>
    </row>
    <row r="530" spans="22:25" ht="15">
      <c r="V530" t="str">
        <f t="shared" si="8"/>
        <v>Meters  &lt;&lt;&lt;&gt;&gt;&gt; Rods</v>
      </c>
      <c r="W530" t="s">
        <v>500</v>
      </c>
      <c r="X530" t="s">
        <v>393</v>
      </c>
      <c r="Y530">
        <v>0.1988388</v>
      </c>
    </row>
    <row r="531" spans="22:25" ht="15">
      <c r="V531" t="str">
        <f t="shared" si="8"/>
        <v>Meters  &lt;&lt;&lt;&gt;&gt;&gt; Yards </v>
      </c>
      <c r="W531" t="s">
        <v>500</v>
      </c>
      <c r="X531" t="s">
        <v>503</v>
      </c>
      <c r="Y531">
        <v>1.094</v>
      </c>
    </row>
    <row r="532" spans="22:25" ht="15">
      <c r="V532" t="str">
        <f t="shared" si="8"/>
        <v>Meters/Hour &lt;&lt;&lt;&gt;&gt;&gt; Feet/Hour </v>
      </c>
      <c r="W532" t="s">
        <v>539</v>
      </c>
      <c r="X532" t="s">
        <v>510</v>
      </c>
      <c r="Y532">
        <v>3.28084</v>
      </c>
    </row>
    <row r="533" spans="22:25" ht="15">
      <c r="V533" t="str">
        <f t="shared" si="8"/>
        <v>Meters/Hour &lt;&lt;&lt;&gt;&gt;&gt; Feet/Minute</v>
      </c>
      <c r="W533" t="s">
        <v>539</v>
      </c>
      <c r="X533" t="s">
        <v>540</v>
      </c>
      <c r="Y533">
        <v>0.05468067</v>
      </c>
    </row>
    <row r="534" spans="22:25" ht="15">
      <c r="V534" t="str">
        <f t="shared" si="8"/>
        <v>Meters/Minute &lt;&lt;&lt;&gt;&gt;&gt; Inches/Minute</v>
      </c>
      <c r="W534" t="s">
        <v>541</v>
      </c>
      <c r="X534" t="s">
        <v>542</v>
      </c>
      <c r="Y534">
        <v>39.37008</v>
      </c>
    </row>
    <row r="535" spans="22:25" ht="15">
      <c r="V535" t="str">
        <f t="shared" si="8"/>
        <v>Meters/Minutes  &lt;&lt;&lt;&gt;&gt;&gt; Centimeters/Seconds </v>
      </c>
      <c r="W535" t="s">
        <v>275</v>
      </c>
      <c r="X535" t="s">
        <v>270</v>
      </c>
      <c r="Y535">
        <v>1.667</v>
      </c>
    </row>
    <row r="536" spans="22:25" ht="15">
      <c r="V536" t="str">
        <f t="shared" si="8"/>
        <v>Meters/Minutes  &lt;&lt;&lt;&gt;&gt;&gt; Feet/Minutes </v>
      </c>
      <c r="W536" t="s">
        <v>275</v>
      </c>
      <c r="X536" t="s">
        <v>271</v>
      </c>
      <c r="Y536">
        <v>3.28084</v>
      </c>
    </row>
    <row r="537" spans="22:25" ht="15">
      <c r="V537" t="str">
        <f t="shared" si="8"/>
        <v>Meters/Minutes  &lt;&lt;&lt;&gt;&gt;&gt; Feet/Seconds </v>
      </c>
      <c r="W537" t="s">
        <v>275</v>
      </c>
      <c r="X537" t="s">
        <v>272</v>
      </c>
      <c r="Y537">
        <v>0.05468067</v>
      </c>
    </row>
    <row r="538" spans="22:25" ht="15">
      <c r="V538" t="str">
        <f t="shared" si="8"/>
        <v>Meters/Minutes  &lt;&lt;&lt;&gt;&gt;&gt; Kilometers/Hour </v>
      </c>
      <c r="W538" t="s">
        <v>275</v>
      </c>
      <c r="X538" t="s">
        <v>273</v>
      </c>
      <c r="Y538">
        <v>0.06</v>
      </c>
    </row>
    <row r="539" spans="22:25" ht="15">
      <c r="V539" t="str">
        <f t="shared" si="8"/>
        <v>Meters/Minutes  &lt;&lt;&lt;&gt;&gt;&gt; Knots </v>
      </c>
      <c r="W539" t="s">
        <v>275</v>
      </c>
      <c r="X539" t="s">
        <v>274</v>
      </c>
      <c r="Y539">
        <v>0.03238</v>
      </c>
    </row>
    <row r="540" spans="22:25" ht="15">
      <c r="V540" t="str">
        <f t="shared" si="8"/>
        <v>Meters/Minutes  &lt;&lt;&lt;&gt;&gt;&gt; Miles/Hour </v>
      </c>
      <c r="W540" t="s">
        <v>275</v>
      </c>
      <c r="X540" t="s">
        <v>276</v>
      </c>
      <c r="Y540">
        <v>0.03728</v>
      </c>
    </row>
    <row r="541" spans="22:25" ht="15">
      <c r="V541" t="str">
        <f t="shared" si="8"/>
        <v>Meters/Seconds  &lt;&lt;&lt;&gt;&gt;&gt; Feet/Hour </v>
      </c>
      <c r="W541" t="s">
        <v>543</v>
      </c>
      <c r="X541" t="s">
        <v>510</v>
      </c>
      <c r="Y541">
        <v>11811.02</v>
      </c>
    </row>
    <row r="542" spans="22:25" ht="15">
      <c r="V542" t="str">
        <f t="shared" si="8"/>
        <v>Meters/Seconds  &lt;&lt;&lt;&gt;&gt;&gt; Feet/Minutes </v>
      </c>
      <c r="W542" t="s">
        <v>543</v>
      </c>
      <c r="X542" t="s">
        <v>271</v>
      </c>
      <c r="Y542">
        <v>196.8504</v>
      </c>
    </row>
    <row r="543" spans="22:25" ht="15">
      <c r="V543" t="str">
        <f t="shared" si="8"/>
        <v>Meters/Seconds  &lt;&lt;&lt;&gt;&gt;&gt; Feet/Seconds </v>
      </c>
      <c r="W543" t="s">
        <v>543</v>
      </c>
      <c r="X543" t="s">
        <v>272</v>
      </c>
      <c r="Y543">
        <v>3.28084</v>
      </c>
    </row>
    <row r="544" spans="22:25" ht="15">
      <c r="V544" t="str">
        <f t="shared" si="8"/>
        <v>Meters/Seconds  &lt;&lt;&lt;&gt;&gt;&gt; Kilometers/Hour </v>
      </c>
      <c r="W544" t="s">
        <v>543</v>
      </c>
      <c r="X544" t="s">
        <v>273</v>
      </c>
      <c r="Y544">
        <v>3.6</v>
      </c>
    </row>
    <row r="545" spans="22:25" ht="15">
      <c r="V545" t="str">
        <f t="shared" si="8"/>
        <v>Meters/Seconds  &lt;&lt;&lt;&gt;&gt;&gt; Kilometers/Minutes </v>
      </c>
      <c r="W545" t="s">
        <v>543</v>
      </c>
      <c r="X545" t="s">
        <v>544</v>
      </c>
      <c r="Y545">
        <v>0.06</v>
      </c>
    </row>
    <row r="546" spans="22:25" ht="15">
      <c r="V546" t="str">
        <f t="shared" si="8"/>
        <v>Meters/Seconds  &lt;&lt;&lt;&gt;&gt;&gt; Miles/Hour </v>
      </c>
      <c r="W546" t="s">
        <v>543</v>
      </c>
      <c r="X546" t="s">
        <v>276</v>
      </c>
      <c r="Y546">
        <v>2.237</v>
      </c>
    </row>
    <row r="547" spans="22:25" ht="15">
      <c r="V547" t="str">
        <f t="shared" si="8"/>
        <v>Meters/Seconds  &lt;&lt;&lt;&gt;&gt;&gt; Miles/Minutes </v>
      </c>
      <c r="W547" t="s">
        <v>543</v>
      </c>
      <c r="X547" t="s">
        <v>277</v>
      </c>
      <c r="Y547">
        <v>0.03728</v>
      </c>
    </row>
    <row r="548" spans="22:25" ht="15">
      <c r="V548" t="str">
        <f t="shared" si="8"/>
        <v>Meters/Seconds/Seconds  &lt;&lt;&lt;&gt;&gt;&gt; Centimeters/Seconds/Seconds </v>
      </c>
      <c r="W548" t="s">
        <v>385</v>
      </c>
      <c r="X548" t="s">
        <v>278</v>
      </c>
      <c r="Y548">
        <v>100</v>
      </c>
    </row>
    <row r="549" spans="22:25" ht="15">
      <c r="V549" t="str">
        <f t="shared" si="8"/>
        <v>Meters/Seconds/Seconds  &lt;&lt;&lt;&gt;&gt;&gt; Feet/Seconds/Seconds </v>
      </c>
      <c r="W549" t="s">
        <v>385</v>
      </c>
      <c r="X549" t="s">
        <v>279</v>
      </c>
      <c r="Y549">
        <v>3.281</v>
      </c>
    </row>
    <row r="550" spans="22:25" ht="15">
      <c r="V550" t="str">
        <f t="shared" si="8"/>
        <v>Meters/Seconds/Seconds  &lt;&lt;&lt;&gt;&gt;&gt; Kilometers/Hour/Seconds </v>
      </c>
      <c r="W550" t="s">
        <v>385</v>
      </c>
      <c r="X550" t="s">
        <v>280</v>
      </c>
      <c r="Y550">
        <v>3.6</v>
      </c>
    </row>
    <row r="551" spans="22:25" ht="15">
      <c r="V551" t="str">
        <f t="shared" si="8"/>
        <v>Meters/Seconds/Seconds  &lt;&lt;&lt;&gt;&gt;&gt; Miles/Hour/Seconds </v>
      </c>
      <c r="W551" t="s">
        <v>385</v>
      </c>
      <c r="X551" t="s">
        <v>282</v>
      </c>
      <c r="Y551">
        <v>2.237</v>
      </c>
    </row>
    <row r="552" spans="22:25" ht="15">
      <c r="V552" t="str">
        <f t="shared" si="8"/>
        <v>Micrograms  &lt;&lt;&lt;&gt;&gt;&gt; Grams </v>
      </c>
      <c r="W552" t="s">
        <v>545</v>
      </c>
      <c r="X552" t="s">
        <v>254</v>
      </c>
      <c r="Y552">
        <v>1E-06</v>
      </c>
    </row>
    <row r="553" spans="22:25" ht="15">
      <c r="V553" t="str">
        <f t="shared" si="8"/>
        <v>Microhms  &lt;&lt;&lt;&gt;&gt;&gt; Megohms </v>
      </c>
      <c r="W553" t="s">
        <v>534</v>
      </c>
      <c r="X553" t="s">
        <v>533</v>
      </c>
      <c r="Y553">
        <v>1E-12</v>
      </c>
    </row>
    <row r="554" spans="22:25" ht="15">
      <c r="V554" t="str">
        <f t="shared" si="8"/>
        <v>Microhms  &lt;&lt;&lt;&gt;&gt;&gt; Ohms </v>
      </c>
      <c r="W554" t="s">
        <v>534</v>
      </c>
      <c r="X554" t="s">
        <v>535</v>
      </c>
      <c r="Y554">
        <v>1E-06</v>
      </c>
    </row>
    <row r="555" spans="22:25" ht="15">
      <c r="V555" t="str">
        <f t="shared" si="8"/>
        <v>Microliters  &lt;&lt;&lt;&gt;&gt;&gt; Liters </v>
      </c>
      <c r="W555" t="s">
        <v>546</v>
      </c>
      <c r="X555" t="s">
        <v>239</v>
      </c>
      <c r="Y555">
        <v>1E-06</v>
      </c>
    </row>
    <row r="556" spans="22:25" ht="15">
      <c r="V556" t="str">
        <f t="shared" si="8"/>
        <v>Microns  &lt;&lt;&lt;&gt;&gt;&gt; Meters </v>
      </c>
      <c r="W556" t="s">
        <v>547</v>
      </c>
      <c r="X556" t="s">
        <v>500</v>
      </c>
      <c r="Y556">
        <v>1E-06</v>
      </c>
    </row>
    <row r="557" spans="22:25" ht="15">
      <c r="V557" t="str">
        <f t="shared" si="8"/>
        <v>Miles (nautical)  &lt;&lt;&lt;&gt;&gt;&gt; Feet </v>
      </c>
      <c r="W557" t="s">
        <v>537</v>
      </c>
      <c r="X557" t="s">
        <v>497</v>
      </c>
      <c r="Y557">
        <v>6080.27</v>
      </c>
    </row>
    <row r="558" spans="22:25" ht="15">
      <c r="V558" t="str">
        <f t="shared" si="8"/>
        <v>Miles (nautical)  &lt;&lt;&lt;&gt;&gt;&gt; Kilometers </v>
      </c>
      <c r="W558" t="s">
        <v>537</v>
      </c>
      <c r="X558" t="s">
        <v>494</v>
      </c>
      <c r="Y558">
        <v>1.853</v>
      </c>
    </row>
    <row r="559" spans="22:25" ht="15">
      <c r="V559" t="str">
        <f t="shared" si="8"/>
        <v>Miles (nautical)  &lt;&lt;&lt;&gt;&gt;&gt; Meters </v>
      </c>
      <c r="W559" t="s">
        <v>537</v>
      </c>
      <c r="X559" t="s">
        <v>500</v>
      </c>
      <c r="Y559">
        <v>1853</v>
      </c>
    </row>
    <row r="560" spans="22:25" ht="15">
      <c r="V560" t="str">
        <f t="shared" si="8"/>
        <v>Miles (nautical)  &lt;&lt;&lt;&gt;&gt;&gt; Miles (statute) </v>
      </c>
      <c r="W560" t="s">
        <v>537</v>
      </c>
      <c r="X560" t="s">
        <v>538</v>
      </c>
      <c r="Y560">
        <v>1.1516</v>
      </c>
    </row>
    <row r="561" spans="22:25" ht="15">
      <c r="V561" t="str">
        <f t="shared" si="8"/>
        <v>Miles (nautical)  &lt;&lt;&lt;&gt;&gt;&gt; Yards </v>
      </c>
      <c r="W561" t="s">
        <v>537</v>
      </c>
      <c r="X561" t="s">
        <v>503</v>
      </c>
      <c r="Y561">
        <v>2027</v>
      </c>
    </row>
    <row r="562" spans="22:25" ht="15">
      <c r="V562" t="str">
        <f t="shared" si="8"/>
        <v>Miles (statute)  &lt;&lt;&lt;&gt;&gt;&gt; Centimeters </v>
      </c>
      <c r="W562" t="s">
        <v>538</v>
      </c>
      <c r="X562" t="s">
        <v>496</v>
      </c>
      <c r="Y562">
        <v>161000</v>
      </c>
    </row>
    <row r="563" spans="22:25" ht="15">
      <c r="V563" t="str">
        <f t="shared" si="8"/>
        <v>Miles (statute)  &lt;&lt;&lt;&gt;&gt;&gt; Feet </v>
      </c>
      <c r="W563" t="s">
        <v>538</v>
      </c>
      <c r="X563" t="s">
        <v>497</v>
      </c>
      <c r="Y563">
        <v>5280</v>
      </c>
    </row>
    <row r="564" spans="22:25" ht="15">
      <c r="V564" t="str">
        <f t="shared" si="8"/>
        <v>Miles (statute)  &lt;&lt;&lt;&gt;&gt;&gt; Inches </v>
      </c>
      <c r="W564" t="s">
        <v>538</v>
      </c>
      <c r="X564" t="s">
        <v>498</v>
      </c>
      <c r="Y564">
        <v>63400</v>
      </c>
    </row>
    <row r="565" spans="22:25" ht="15">
      <c r="V565" t="str">
        <f t="shared" si="8"/>
        <v>Miles (statute)  &lt;&lt;&lt;&gt;&gt;&gt; Kilometers </v>
      </c>
      <c r="W565" t="s">
        <v>538</v>
      </c>
      <c r="X565" t="s">
        <v>494</v>
      </c>
      <c r="Y565">
        <v>1.609</v>
      </c>
    </row>
    <row r="566" spans="22:25" ht="15">
      <c r="V566" t="str">
        <f t="shared" si="8"/>
        <v>Miles (statute)  &lt;&lt;&lt;&gt;&gt;&gt; Meters </v>
      </c>
      <c r="W566" t="s">
        <v>538</v>
      </c>
      <c r="X566" t="s">
        <v>500</v>
      </c>
      <c r="Y566">
        <v>1609</v>
      </c>
    </row>
    <row r="567" spans="22:25" ht="15">
      <c r="V567" t="str">
        <f t="shared" si="8"/>
        <v>Miles (statute)  &lt;&lt;&lt;&gt;&gt;&gt; Miles (nautical) </v>
      </c>
      <c r="W567" t="s">
        <v>538</v>
      </c>
      <c r="X567" t="s">
        <v>537</v>
      </c>
      <c r="Y567">
        <v>0.8684</v>
      </c>
    </row>
    <row r="568" spans="22:25" ht="15">
      <c r="V568" t="str">
        <f t="shared" si="8"/>
        <v>Miles (statute)  &lt;&lt;&lt;&gt;&gt;&gt; Yards </v>
      </c>
      <c r="W568" t="s">
        <v>538</v>
      </c>
      <c r="X568" t="s">
        <v>503</v>
      </c>
      <c r="Y568">
        <v>1760</v>
      </c>
    </row>
    <row r="569" spans="22:25" ht="15">
      <c r="V569" t="str">
        <f t="shared" si="8"/>
        <v>Miles/Hour  &lt;&lt;&lt;&gt;&gt;&gt; Centimeters/Seconds </v>
      </c>
      <c r="W569" t="s">
        <v>276</v>
      </c>
      <c r="X569" t="s">
        <v>270</v>
      </c>
      <c r="Y569">
        <v>44.7</v>
      </c>
    </row>
    <row r="570" spans="22:25" ht="15">
      <c r="V570" t="str">
        <f t="shared" si="8"/>
        <v>Miles/Hour  &lt;&lt;&lt;&gt;&gt;&gt; Feet/Minutes </v>
      </c>
      <c r="W570" t="s">
        <v>276</v>
      </c>
      <c r="X570" t="s">
        <v>271</v>
      </c>
      <c r="Y570">
        <v>88</v>
      </c>
    </row>
    <row r="571" spans="22:25" ht="15">
      <c r="V571" t="str">
        <f t="shared" si="8"/>
        <v>Miles/Hour  &lt;&lt;&lt;&gt;&gt;&gt; Feet/Seconds </v>
      </c>
      <c r="W571" t="s">
        <v>276</v>
      </c>
      <c r="X571" t="s">
        <v>272</v>
      </c>
      <c r="Y571">
        <v>1.467</v>
      </c>
    </row>
    <row r="572" spans="22:25" ht="15">
      <c r="V572" t="str">
        <f t="shared" si="8"/>
        <v>Miles/Hour  &lt;&lt;&lt;&gt;&gt;&gt; Kilometers/Hour </v>
      </c>
      <c r="W572" t="s">
        <v>276</v>
      </c>
      <c r="X572" t="s">
        <v>273</v>
      </c>
      <c r="Y572">
        <v>1.609344</v>
      </c>
    </row>
    <row r="573" spans="22:25" ht="15">
      <c r="V573" t="str">
        <f t="shared" si="8"/>
        <v>Miles/Hour  &lt;&lt;&lt;&gt;&gt;&gt; Kilometers/Minutes </v>
      </c>
      <c r="W573" t="s">
        <v>276</v>
      </c>
      <c r="X573" t="s">
        <v>544</v>
      </c>
      <c r="Y573">
        <v>0.02682</v>
      </c>
    </row>
    <row r="574" spans="22:25" ht="15">
      <c r="V574" t="str">
        <f t="shared" si="8"/>
        <v>Miles/Hour  &lt;&lt;&lt;&gt;&gt;&gt; Knots </v>
      </c>
      <c r="W574" t="s">
        <v>276</v>
      </c>
      <c r="X574" t="s">
        <v>274</v>
      </c>
      <c r="Y574">
        <v>0.8684</v>
      </c>
    </row>
    <row r="575" spans="22:25" ht="15">
      <c r="V575" t="str">
        <f t="shared" si="8"/>
        <v>Miles/Hour  &lt;&lt;&lt;&gt;&gt;&gt; Meters/Minutes </v>
      </c>
      <c r="W575" t="s">
        <v>276</v>
      </c>
      <c r="X575" t="s">
        <v>275</v>
      </c>
      <c r="Y575">
        <v>26.82</v>
      </c>
    </row>
    <row r="576" spans="22:25" ht="15">
      <c r="V576" t="str">
        <f t="shared" si="8"/>
        <v>Miles/Hour  &lt;&lt;&lt;&gt;&gt;&gt; Miles/Minutes </v>
      </c>
      <c r="W576" t="s">
        <v>276</v>
      </c>
      <c r="X576" t="s">
        <v>277</v>
      </c>
      <c r="Y576">
        <v>0.1667</v>
      </c>
    </row>
    <row r="577" spans="22:25" ht="15">
      <c r="V577" t="str">
        <f t="shared" si="8"/>
        <v>Miles/Hour/Seconds  &lt;&lt;&lt;&gt;&gt;&gt; Centimeters/Seconds/Seconds </v>
      </c>
      <c r="W577" t="s">
        <v>282</v>
      </c>
      <c r="X577" t="s">
        <v>278</v>
      </c>
      <c r="Y577">
        <v>44.7</v>
      </c>
    </row>
    <row r="578" spans="22:25" ht="15">
      <c r="V578" t="str">
        <f t="shared" si="8"/>
        <v>Miles/Hour/Seconds  &lt;&lt;&lt;&gt;&gt;&gt; Feet/Seconds/Seconds </v>
      </c>
      <c r="W578" t="s">
        <v>282</v>
      </c>
      <c r="X578" t="s">
        <v>279</v>
      </c>
      <c r="Y578">
        <v>1.467</v>
      </c>
    </row>
    <row r="579" spans="22:25" ht="15">
      <c r="V579" t="str">
        <f aca="true" t="shared" si="9" ref="V579:V642">IF(W579="","",W579&amp;" &lt;&lt;&lt;&gt;&gt;&gt; "&amp;X579)</f>
        <v>Miles/Hour/Seconds  &lt;&lt;&lt;&gt;&gt;&gt; Kilometers/Hour/Seconds </v>
      </c>
      <c r="W579" t="s">
        <v>282</v>
      </c>
      <c r="X579" t="s">
        <v>280</v>
      </c>
      <c r="Y579">
        <v>1.609</v>
      </c>
    </row>
    <row r="580" spans="22:25" ht="15">
      <c r="V580" t="str">
        <f t="shared" si="9"/>
        <v>Miles/Hour/Seconds  &lt;&lt;&lt;&gt;&gt;&gt; meters/Seconds/Seconds </v>
      </c>
      <c r="W580" t="s">
        <v>282</v>
      </c>
      <c r="X580" t="s">
        <v>281</v>
      </c>
      <c r="Y580">
        <v>0.447</v>
      </c>
    </row>
    <row r="581" spans="22:25" ht="15">
      <c r="V581" t="str">
        <f t="shared" si="9"/>
        <v>Miles/Minutes  &lt;&lt;&lt;&gt;&gt;&gt; Centimeters/Seconds </v>
      </c>
      <c r="W581" t="s">
        <v>277</v>
      </c>
      <c r="X581" t="s">
        <v>270</v>
      </c>
      <c r="Y581">
        <v>2682</v>
      </c>
    </row>
    <row r="582" spans="22:25" ht="15">
      <c r="V582" t="str">
        <f t="shared" si="9"/>
        <v>Miles/Minutes  &lt;&lt;&lt;&gt;&gt;&gt; Feet/Seconds </v>
      </c>
      <c r="W582" t="s">
        <v>277</v>
      </c>
      <c r="X582" t="s">
        <v>272</v>
      </c>
      <c r="Y582">
        <v>88</v>
      </c>
    </row>
    <row r="583" spans="22:25" ht="15">
      <c r="V583" t="str">
        <f t="shared" si="9"/>
        <v>Miles/Minutes  &lt;&lt;&lt;&gt;&gt;&gt; Kilometers/Minutes </v>
      </c>
      <c r="W583" t="s">
        <v>277</v>
      </c>
      <c r="X583" t="s">
        <v>544</v>
      </c>
      <c r="Y583">
        <v>1.609</v>
      </c>
    </row>
    <row r="584" spans="22:25" ht="15">
      <c r="V584" t="str">
        <f t="shared" si="9"/>
        <v>Miles/Minutes  &lt;&lt;&lt;&gt;&gt;&gt; Knots/Minutes </v>
      </c>
      <c r="W584" t="s">
        <v>277</v>
      </c>
      <c r="X584" t="s">
        <v>548</v>
      </c>
      <c r="Y584">
        <v>0.8684</v>
      </c>
    </row>
    <row r="585" spans="22:25" ht="15">
      <c r="V585" t="str">
        <f t="shared" si="9"/>
        <v>Miles/Minutes  &lt;&lt;&lt;&gt;&gt;&gt; Miles/Hour </v>
      </c>
      <c r="W585" t="s">
        <v>277</v>
      </c>
      <c r="X585" t="s">
        <v>276</v>
      </c>
      <c r="Y585">
        <v>60</v>
      </c>
    </row>
    <row r="586" spans="22:25" ht="15">
      <c r="V586" t="str">
        <f t="shared" si="9"/>
        <v>Milliers  &lt;&lt;&lt;&gt;&gt;&gt; Kilograms </v>
      </c>
      <c r="W586" t="s">
        <v>549</v>
      </c>
      <c r="X586" t="s">
        <v>364</v>
      </c>
      <c r="Y586">
        <v>1000</v>
      </c>
    </row>
    <row r="587" spans="22:25" ht="15">
      <c r="V587" t="str">
        <f t="shared" si="9"/>
        <v>Milligrams  &lt;&lt;&lt;&gt;&gt;&gt; Grains </v>
      </c>
      <c r="W587" t="s">
        <v>421</v>
      </c>
      <c r="X587" t="s">
        <v>341</v>
      </c>
      <c r="Y587">
        <v>0.01543236</v>
      </c>
    </row>
    <row r="588" spans="22:25" ht="15">
      <c r="V588" t="str">
        <f t="shared" si="9"/>
        <v>Milligrams  &lt;&lt;&lt;&gt;&gt;&gt; Grams </v>
      </c>
      <c r="W588" t="s">
        <v>421</v>
      </c>
      <c r="X588" t="s">
        <v>254</v>
      </c>
      <c r="Y588">
        <v>0.001</v>
      </c>
    </row>
    <row r="589" spans="22:25" ht="15">
      <c r="V589" t="str">
        <f t="shared" si="9"/>
        <v>Milliliters  &lt;&lt;&lt;&gt;&gt;&gt; Liters </v>
      </c>
      <c r="W589" t="s">
        <v>550</v>
      </c>
      <c r="X589" t="s">
        <v>239</v>
      </c>
      <c r="Y589">
        <v>0.001</v>
      </c>
    </row>
    <row r="590" spans="22:25" ht="15">
      <c r="V590" t="str">
        <f t="shared" si="9"/>
        <v>Millimeters  &lt;&lt;&lt;&gt;&gt;&gt; Centimeters </v>
      </c>
      <c r="W590" t="s">
        <v>502</v>
      </c>
      <c r="X590" t="s">
        <v>496</v>
      </c>
      <c r="Y590">
        <v>0.1</v>
      </c>
    </row>
    <row r="591" spans="22:25" ht="15">
      <c r="V591" t="str">
        <f t="shared" si="9"/>
        <v>Millimeters  &lt;&lt;&lt;&gt;&gt;&gt; Feet </v>
      </c>
      <c r="W591" t="s">
        <v>502</v>
      </c>
      <c r="X591" t="s">
        <v>497</v>
      </c>
      <c r="Y591">
        <v>0.00328</v>
      </c>
    </row>
    <row r="592" spans="22:25" ht="15">
      <c r="V592" t="str">
        <f t="shared" si="9"/>
        <v>Millimeters  &lt;&lt;&lt;&gt;&gt;&gt; Inches </v>
      </c>
      <c r="W592" t="s">
        <v>502</v>
      </c>
      <c r="X592" t="s">
        <v>498</v>
      </c>
      <c r="Y592">
        <v>0.03937</v>
      </c>
    </row>
    <row r="593" spans="22:25" ht="15">
      <c r="V593" t="str">
        <f t="shared" si="9"/>
        <v>Millimeters  &lt;&lt;&lt;&gt;&gt;&gt; Kilometers </v>
      </c>
      <c r="W593" t="s">
        <v>502</v>
      </c>
      <c r="X593" t="s">
        <v>494</v>
      </c>
      <c r="Y593">
        <v>1E-06</v>
      </c>
    </row>
    <row r="594" spans="22:25" ht="15">
      <c r="V594" t="str">
        <f t="shared" si="9"/>
        <v>Millimeters  &lt;&lt;&lt;&gt;&gt;&gt; Meters </v>
      </c>
      <c r="W594" t="s">
        <v>502</v>
      </c>
      <c r="X594" t="s">
        <v>500</v>
      </c>
      <c r="Y594">
        <v>0.001</v>
      </c>
    </row>
    <row r="595" spans="22:25" ht="15">
      <c r="V595" t="str">
        <f t="shared" si="9"/>
        <v>Millimeters  &lt;&lt;&lt;&gt;&gt;&gt; Miles </v>
      </c>
      <c r="W595" t="s">
        <v>502</v>
      </c>
      <c r="X595" t="s">
        <v>516</v>
      </c>
      <c r="Y595">
        <v>6.21E-07</v>
      </c>
    </row>
    <row r="596" spans="22:25" ht="15">
      <c r="V596" t="str">
        <f t="shared" si="9"/>
        <v>Millimeters  &lt;&lt;&lt;&gt;&gt;&gt; Mils </v>
      </c>
      <c r="W596" t="s">
        <v>502</v>
      </c>
      <c r="X596" t="s">
        <v>551</v>
      </c>
      <c r="Y596">
        <v>39.37</v>
      </c>
    </row>
    <row r="597" spans="22:25" ht="15">
      <c r="V597" t="str">
        <f t="shared" si="9"/>
        <v>Millimeters  &lt;&lt;&lt;&gt;&gt;&gt; Yards </v>
      </c>
      <c r="W597" t="s">
        <v>502</v>
      </c>
      <c r="X597" t="s">
        <v>503</v>
      </c>
      <c r="Y597">
        <v>0.00109</v>
      </c>
    </row>
    <row r="598" spans="22:25" ht="15">
      <c r="V598" t="str">
        <f t="shared" si="9"/>
        <v>Millimeters/Minute &lt;&lt;&lt;&gt;&gt;&gt; Inches/Minute</v>
      </c>
      <c r="W598" t="s">
        <v>552</v>
      </c>
      <c r="X598" t="s">
        <v>542</v>
      </c>
      <c r="Y598">
        <v>0.03937008</v>
      </c>
    </row>
    <row r="599" spans="22:25" ht="15">
      <c r="V599" t="str">
        <f t="shared" si="9"/>
        <v>Millimicrons  &lt;&lt;&lt;&gt;&gt;&gt; Meters </v>
      </c>
      <c r="W599" t="s">
        <v>553</v>
      </c>
      <c r="X599" t="s">
        <v>500</v>
      </c>
      <c r="Y599">
        <v>1E-09</v>
      </c>
    </row>
    <row r="600" spans="22:25" ht="15">
      <c r="V600" t="str">
        <f t="shared" si="9"/>
        <v>Mils  &lt;&lt;&lt;&gt;&gt;&gt; Centimeters </v>
      </c>
      <c r="W600" t="s">
        <v>551</v>
      </c>
      <c r="X600" t="s">
        <v>496</v>
      </c>
      <c r="Y600">
        <v>0.00254</v>
      </c>
    </row>
    <row r="601" spans="22:25" ht="15">
      <c r="V601" t="str">
        <f t="shared" si="9"/>
        <v>Mils  &lt;&lt;&lt;&gt;&gt;&gt; Feet </v>
      </c>
      <c r="W601" t="s">
        <v>551</v>
      </c>
      <c r="X601" t="s">
        <v>497</v>
      </c>
      <c r="Y601">
        <v>8.33E-05</v>
      </c>
    </row>
    <row r="602" spans="22:25" ht="15">
      <c r="V602" t="str">
        <f t="shared" si="9"/>
        <v>Mils  &lt;&lt;&lt;&gt;&gt;&gt; Inches </v>
      </c>
      <c r="W602" t="s">
        <v>551</v>
      </c>
      <c r="X602" t="s">
        <v>498</v>
      </c>
      <c r="Y602">
        <v>0.001</v>
      </c>
    </row>
    <row r="603" spans="22:25" ht="15">
      <c r="V603" t="str">
        <f t="shared" si="9"/>
        <v>Mils  &lt;&lt;&lt;&gt;&gt;&gt; Kilometers </v>
      </c>
      <c r="W603" t="s">
        <v>551</v>
      </c>
      <c r="X603" t="s">
        <v>494</v>
      </c>
      <c r="Y603">
        <v>0.00254</v>
      </c>
    </row>
    <row r="604" spans="22:25" ht="15">
      <c r="V604" t="str">
        <f t="shared" si="9"/>
        <v>Mils  &lt;&lt;&lt;&gt;&gt;&gt; Yards </v>
      </c>
      <c r="W604" t="s">
        <v>551</v>
      </c>
      <c r="X604" t="s">
        <v>503</v>
      </c>
      <c r="Y604">
        <v>2.78E-05</v>
      </c>
    </row>
    <row r="605" spans="22:25" ht="15">
      <c r="V605" t="str">
        <f t="shared" si="9"/>
        <v>Minutes  &lt;&lt;&lt;&gt;&gt;&gt; Seconds </v>
      </c>
      <c r="W605" t="s">
        <v>554</v>
      </c>
      <c r="X605" t="s">
        <v>555</v>
      </c>
      <c r="Y605">
        <v>60</v>
      </c>
    </row>
    <row r="606" spans="22:25" ht="15">
      <c r="V606" t="str">
        <f t="shared" si="9"/>
        <v>Newtons (N) &lt;&lt;&lt;&gt;&gt;&gt; Dynes</v>
      </c>
      <c r="W606" t="s">
        <v>361</v>
      </c>
      <c r="X606" t="s">
        <v>358</v>
      </c>
      <c r="Y606">
        <v>100000</v>
      </c>
    </row>
    <row r="607" spans="22:25" ht="15">
      <c r="V607" t="str">
        <f t="shared" si="9"/>
        <v>Newtons (N) &lt;&lt;&lt;&gt;&gt;&gt; Kilograms-force</v>
      </c>
      <c r="W607" t="s">
        <v>361</v>
      </c>
      <c r="X607" t="s">
        <v>556</v>
      </c>
      <c r="Y607">
        <v>0.1019716</v>
      </c>
    </row>
    <row r="608" spans="22:25" ht="15">
      <c r="V608" t="str">
        <f t="shared" si="9"/>
        <v>Newtons (N) &lt;&lt;&lt;&gt;&gt;&gt; Kilopond</v>
      </c>
      <c r="W608" t="s">
        <v>361</v>
      </c>
      <c r="X608" t="s">
        <v>507</v>
      </c>
      <c r="Y608">
        <v>0.1019716</v>
      </c>
    </row>
    <row r="609" spans="22:25" ht="15">
      <c r="V609" t="str">
        <f t="shared" si="9"/>
        <v>Newtons (N) &lt;&lt;&lt;&gt;&gt;&gt; Ounces-Force</v>
      </c>
      <c r="W609" t="s">
        <v>361</v>
      </c>
      <c r="X609" t="s">
        <v>557</v>
      </c>
      <c r="Y609">
        <v>3.596942</v>
      </c>
    </row>
    <row r="610" spans="22:25" ht="15">
      <c r="V610" t="str">
        <f t="shared" si="9"/>
        <v>Newtons (N) &lt;&lt;&lt;&gt;&gt;&gt; Poundal</v>
      </c>
      <c r="W610" t="s">
        <v>361</v>
      </c>
      <c r="X610" t="s">
        <v>558</v>
      </c>
      <c r="Y610">
        <v>7.23301</v>
      </c>
    </row>
    <row r="611" spans="22:25" ht="15">
      <c r="V611" t="str">
        <f t="shared" si="9"/>
        <v>Newtons (N) &lt;&lt;&lt;&gt;&gt;&gt; Pounds-Force</v>
      </c>
      <c r="W611" t="s">
        <v>361</v>
      </c>
      <c r="X611" t="s">
        <v>559</v>
      </c>
      <c r="Y611">
        <v>0.2248089</v>
      </c>
    </row>
    <row r="612" spans="22:25" ht="15">
      <c r="V612" t="str">
        <f t="shared" si="9"/>
        <v>Newtons per Meter &lt;&lt;&lt;&gt;&gt;&gt; Pounds per Foot</v>
      </c>
      <c r="W612" t="s">
        <v>560</v>
      </c>
      <c r="X612" t="s">
        <v>561</v>
      </c>
      <c r="Y612">
        <v>0.06852178</v>
      </c>
    </row>
    <row r="613" spans="22:25" ht="15">
      <c r="V613" t="str">
        <f t="shared" si="9"/>
        <v>Newtons per Meter &lt;&lt;&lt;&gt;&gt;&gt; Pounds per Inch</v>
      </c>
      <c r="W613" t="s">
        <v>560</v>
      </c>
      <c r="X613" t="s">
        <v>562</v>
      </c>
      <c r="Y613">
        <v>0.005710148</v>
      </c>
    </row>
    <row r="614" spans="22:25" ht="15">
      <c r="V614" t="str">
        <f t="shared" si="9"/>
        <v>Ohm (international)  &lt;&lt;&lt;&gt;&gt;&gt; Ohm (absolute) </v>
      </c>
      <c r="W614" t="s">
        <v>563</v>
      </c>
      <c r="X614" t="s">
        <v>564</v>
      </c>
      <c r="Y614">
        <v>1.0005</v>
      </c>
    </row>
    <row r="615" spans="22:25" ht="15">
      <c r="V615" t="str">
        <f t="shared" si="9"/>
        <v>Ohms  &lt;&lt;&lt;&gt;&gt;&gt; Megohms </v>
      </c>
      <c r="W615" t="s">
        <v>535</v>
      </c>
      <c r="X615" t="s">
        <v>533</v>
      </c>
      <c r="Y615">
        <v>1E-06</v>
      </c>
    </row>
    <row r="616" spans="22:25" ht="15">
      <c r="V616" t="str">
        <f t="shared" si="9"/>
        <v>Ohms  &lt;&lt;&lt;&gt;&gt;&gt; Microhms </v>
      </c>
      <c r="W616" t="s">
        <v>535</v>
      </c>
      <c r="X616" t="s">
        <v>534</v>
      </c>
      <c r="Y616">
        <v>1000000</v>
      </c>
    </row>
    <row r="617" spans="22:25" ht="15">
      <c r="V617" t="str">
        <f t="shared" si="9"/>
        <v>Ounces  &lt;&lt;&lt;&gt;&gt;&gt; Drams </v>
      </c>
      <c r="W617" t="s">
        <v>342</v>
      </c>
      <c r="X617" t="s">
        <v>340</v>
      </c>
      <c r="Y617">
        <v>16</v>
      </c>
    </row>
    <row r="618" spans="22:25" ht="15">
      <c r="V618" t="str">
        <f t="shared" si="9"/>
        <v>Ounces  &lt;&lt;&lt;&gt;&gt;&gt; Grains </v>
      </c>
      <c r="W618" t="s">
        <v>342</v>
      </c>
      <c r="X618" t="s">
        <v>341</v>
      </c>
      <c r="Y618">
        <v>437.5</v>
      </c>
    </row>
    <row r="619" spans="22:25" ht="15">
      <c r="V619" t="str">
        <f t="shared" si="9"/>
        <v>Ounces  &lt;&lt;&lt;&gt;&gt;&gt; Grams </v>
      </c>
      <c r="W619" t="s">
        <v>342</v>
      </c>
      <c r="X619" t="s">
        <v>254</v>
      </c>
      <c r="Y619">
        <v>28.349523</v>
      </c>
    </row>
    <row r="620" spans="22:25" ht="15">
      <c r="V620" t="str">
        <f t="shared" si="9"/>
        <v>Ounces  &lt;&lt;&lt;&gt;&gt;&gt; Ounces (troy) </v>
      </c>
      <c r="W620" t="s">
        <v>342</v>
      </c>
      <c r="X620" t="s">
        <v>344</v>
      </c>
      <c r="Y620">
        <v>0.9115</v>
      </c>
    </row>
    <row r="621" spans="22:25" ht="15">
      <c r="V621" t="str">
        <f t="shared" si="9"/>
        <v>Ounces  &lt;&lt;&lt;&gt;&gt;&gt; Pounds </v>
      </c>
      <c r="W621" t="s">
        <v>342</v>
      </c>
      <c r="X621" t="s">
        <v>366</v>
      </c>
      <c r="Y621">
        <v>0.0625</v>
      </c>
    </row>
    <row r="622" spans="22:25" ht="15">
      <c r="V622" t="str">
        <f t="shared" si="9"/>
        <v>Ounces  &lt;&lt;&lt;&gt;&gt;&gt; Tons (long) </v>
      </c>
      <c r="W622" t="s">
        <v>342</v>
      </c>
      <c r="X622" t="s">
        <v>450</v>
      </c>
      <c r="Y622">
        <v>2.79E-05</v>
      </c>
    </row>
    <row r="623" spans="22:25" ht="15">
      <c r="V623" t="str">
        <f t="shared" si="9"/>
        <v>Ounces  &lt;&lt;&lt;&gt;&gt;&gt; Tons (metric) </v>
      </c>
      <c r="W623" t="s">
        <v>342</v>
      </c>
      <c r="X623" t="s">
        <v>452</v>
      </c>
      <c r="Y623">
        <v>2.84E-05</v>
      </c>
    </row>
    <row r="624" spans="22:25" ht="15">
      <c r="V624" t="str">
        <f t="shared" si="9"/>
        <v>Ounces (avoirdupois) &lt;&lt;&lt;&gt;&gt;&gt; Grams (g)</v>
      </c>
      <c r="W624" t="s">
        <v>415</v>
      </c>
      <c r="X624" t="s">
        <v>465</v>
      </c>
      <c r="Y624">
        <v>28.34952</v>
      </c>
    </row>
    <row r="625" spans="22:25" ht="15">
      <c r="V625" t="str">
        <f t="shared" si="9"/>
        <v>Ounces (avoirdupois) &lt;&lt;&lt;&gt;&gt;&gt; Kilograms (kg)</v>
      </c>
      <c r="W625" t="s">
        <v>415</v>
      </c>
      <c r="X625" t="s">
        <v>414</v>
      </c>
      <c r="Y625">
        <v>0.02834952</v>
      </c>
    </row>
    <row r="626" spans="22:25" ht="15">
      <c r="V626" t="str">
        <f t="shared" si="9"/>
        <v>Ounces (troy) &lt;&lt;&lt;&gt;&gt;&gt; Grams (g)</v>
      </c>
      <c r="W626" t="s">
        <v>416</v>
      </c>
      <c r="X626" t="s">
        <v>465</v>
      </c>
      <c r="Y626">
        <v>31.10348</v>
      </c>
    </row>
    <row r="627" spans="22:25" ht="15">
      <c r="V627" t="str">
        <f t="shared" si="9"/>
        <v>Ounces (troy) &lt;&lt;&lt;&gt;&gt;&gt; Kilograms (kg)</v>
      </c>
      <c r="W627" t="s">
        <v>416</v>
      </c>
      <c r="X627" t="s">
        <v>414</v>
      </c>
      <c r="Y627">
        <v>0.03110348</v>
      </c>
    </row>
    <row r="628" spans="22:25" ht="15">
      <c r="V628" t="str">
        <f t="shared" si="9"/>
        <v>Ounces (troy)  &lt;&lt;&lt;&gt;&gt;&gt; Grains </v>
      </c>
      <c r="W628" t="s">
        <v>344</v>
      </c>
      <c r="X628" t="s">
        <v>341</v>
      </c>
      <c r="Y628">
        <v>480</v>
      </c>
    </row>
    <row r="629" spans="22:25" ht="15">
      <c r="V629" t="str">
        <f t="shared" si="9"/>
        <v>Ounces (troy)  &lt;&lt;&lt;&gt;&gt;&gt; Grams </v>
      </c>
      <c r="W629" t="s">
        <v>344</v>
      </c>
      <c r="X629" t="s">
        <v>254</v>
      </c>
      <c r="Y629">
        <v>31.103481</v>
      </c>
    </row>
    <row r="630" spans="22:25" ht="15">
      <c r="V630" t="str">
        <f t="shared" si="9"/>
        <v>Ounces (troy)  &lt;&lt;&lt;&gt;&gt;&gt; Ounces (avoirdupois) </v>
      </c>
      <c r="W630" t="s">
        <v>344</v>
      </c>
      <c r="X630" t="s">
        <v>411</v>
      </c>
      <c r="Y630">
        <v>1.09714</v>
      </c>
    </row>
    <row r="631" spans="22:25" ht="15">
      <c r="V631" t="str">
        <f t="shared" si="9"/>
        <v>Ounces (troy)  &lt;&lt;&lt;&gt;&gt;&gt; Pennyweights (troy) </v>
      </c>
      <c r="W631" t="s">
        <v>344</v>
      </c>
      <c r="X631" t="s">
        <v>565</v>
      </c>
      <c r="Y631">
        <v>20</v>
      </c>
    </row>
    <row r="632" spans="22:25" ht="15">
      <c r="V632" t="str">
        <f t="shared" si="9"/>
        <v>Ounces (troy)  &lt;&lt;&lt;&gt;&gt;&gt; Pounds (troy) </v>
      </c>
      <c r="W632" t="s">
        <v>344</v>
      </c>
      <c r="X632" t="s">
        <v>566</v>
      </c>
      <c r="Y632">
        <v>0.08333</v>
      </c>
    </row>
    <row r="633" spans="22:25" ht="15">
      <c r="V633" t="str">
        <f t="shared" si="9"/>
        <v>Ounces/sq Inch  &lt;&lt;&lt;&gt;&gt;&gt; Pounds/sq Inch </v>
      </c>
      <c r="W633" t="s">
        <v>567</v>
      </c>
      <c r="X633" t="s">
        <v>485</v>
      </c>
      <c r="Y633">
        <v>0.0625</v>
      </c>
    </row>
    <row r="634" spans="22:25" ht="15">
      <c r="V634" t="str">
        <f t="shared" si="9"/>
        <v>Ounces-Force &lt;&lt;&lt;&gt;&gt;&gt; Newtons (N)</v>
      </c>
      <c r="W634" t="s">
        <v>557</v>
      </c>
      <c r="X634" t="s">
        <v>361</v>
      </c>
      <c r="Y634">
        <v>0.2780139</v>
      </c>
    </row>
    <row r="635" spans="22:25" ht="15">
      <c r="V635" t="str">
        <f t="shared" si="9"/>
        <v>Parsec  &lt;&lt;&lt;&gt;&gt;&gt; Kilometers </v>
      </c>
      <c r="W635" t="s">
        <v>568</v>
      </c>
      <c r="X635" t="s">
        <v>494</v>
      </c>
      <c r="Y635">
        <v>30800000000000</v>
      </c>
    </row>
    <row r="636" spans="22:25" ht="15">
      <c r="V636" t="str">
        <f t="shared" si="9"/>
        <v>Parsec  &lt;&lt;&lt;&gt;&gt;&gt; Miles </v>
      </c>
      <c r="W636" t="s">
        <v>568</v>
      </c>
      <c r="X636" t="s">
        <v>516</v>
      </c>
      <c r="Y636">
        <v>19000000000000</v>
      </c>
    </row>
    <row r="637" spans="22:25" ht="15">
      <c r="V637" t="str">
        <f t="shared" si="9"/>
        <v>Pecks (British)  &lt;&lt;&lt;&gt;&gt;&gt; Cubic Inches </v>
      </c>
      <c r="W637" t="s">
        <v>569</v>
      </c>
      <c r="X637" t="s">
        <v>237</v>
      </c>
      <c r="Y637">
        <v>554.6</v>
      </c>
    </row>
    <row r="638" spans="22:25" ht="15">
      <c r="V638" t="str">
        <f t="shared" si="9"/>
        <v>Pecks (British)  &lt;&lt;&lt;&gt;&gt;&gt; Liters </v>
      </c>
      <c r="W638" t="s">
        <v>569</v>
      </c>
      <c r="X638" t="s">
        <v>239</v>
      </c>
      <c r="Y638">
        <v>9.091901</v>
      </c>
    </row>
    <row r="639" spans="22:25" ht="15">
      <c r="V639" t="str">
        <f t="shared" si="9"/>
        <v>Pecks (US)  &lt;&lt;&lt;&gt;&gt;&gt; Cubic Inches </v>
      </c>
      <c r="W639" t="s">
        <v>570</v>
      </c>
      <c r="X639" t="s">
        <v>237</v>
      </c>
      <c r="Y639">
        <v>537.605</v>
      </c>
    </row>
    <row r="640" spans="22:25" ht="15">
      <c r="V640" t="str">
        <f t="shared" si="9"/>
        <v>Pecks (US)  &lt;&lt;&lt;&gt;&gt;&gt; Liters </v>
      </c>
      <c r="W640" t="s">
        <v>570</v>
      </c>
      <c r="X640" t="s">
        <v>239</v>
      </c>
      <c r="Y640">
        <v>8.809582</v>
      </c>
    </row>
    <row r="641" spans="22:25" ht="15">
      <c r="V641" t="str">
        <f t="shared" si="9"/>
        <v>Pennyweights (troy)  &lt;&lt;&lt;&gt;&gt;&gt; Grains </v>
      </c>
      <c r="W641" t="s">
        <v>565</v>
      </c>
      <c r="X641" t="s">
        <v>341</v>
      </c>
      <c r="Y641">
        <v>24</v>
      </c>
    </row>
    <row r="642" spans="22:25" ht="15">
      <c r="V642" t="str">
        <f t="shared" si="9"/>
        <v>Pennyweights (troy)  &lt;&lt;&lt;&gt;&gt;&gt; Grams </v>
      </c>
      <c r="W642" t="s">
        <v>565</v>
      </c>
      <c r="X642" t="s">
        <v>254</v>
      </c>
      <c r="Y642">
        <v>1.55517</v>
      </c>
    </row>
    <row r="643" spans="22:25" ht="15">
      <c r="V643" t="str">
        <f aca="true" t="shared" si="10" ref="V643:V706">IF(W643="","",W643&amp;" &lt;&lt;&lt;&gt;&gt;&gt; "&amp;X643)</f>
        <v>Pennyweights (troy)  &lt;&lt;&lt;&gt;&gt;&gt; Ounces (troy) </v>
      </c>
      <c r="W643" t="s">
        <v>565</v>
      </c>
      <c r="X643" t="s">
        <v>344</v>
      </c>
      <c r="Y643">
        <v>0.05</v>
      </c>
    </row>
    <row r="644" spans="22:25" ht="15">
      <c r="V644" t="str">
        <f t="shared" si="10"/>
        <v>Pennyweights (troy)  &lt;&lt;&lt;&gt;&gt;&gt; Pounds (troy) </v>
      </c>
      <c r="W644" t="s">
        <v>565</v>
      </c>
      <c r="X644" t="s">
        <v>566</v>
      </c>
      <c r="Y644">
        <v>0.00417</v>
      </c>
    </row>
    <row r="645" spans="22:25" ht="15">
      <c r="V645" t="str">
        <f t="shared" si="10"/>
        <v>Pints (Brit.)  &lt;&lt;&lt;&gt;&gt;&gt; Cubic centimeters </v>
      </c>
      <c r="W645" t="s">
        <v>571</v>
      </c>
      <c r="X645" t="s">
        <v>572</v>
      </c>
      <c r="Y645">
        <v>568.26125</v>
      </c>
    </row>
    <row r="646" spans="22:25" ht="15">
      <c r="V646" t="str">
        <f t="shared" si="10"/>
        <v>Pints (Brit.)  &lt;&lt;&lt;&gt;&gt;&gt; Cubic Inches </v>
      </c>
      <c r="W646" t="s">
        <v>571</v>
      </c>
      <c r="X646" t="s">
        <v>237</v>
      </c>
      <c r="Y646">
        <v>34.67743</v>
      </c>
    </row>
    <row r="647" spans="22:25" ht="15">
      <c r="V647" t="str">
        <f t="shared" si="10"/>
        <v>Pints (Brit.)  &lt;&lt;&lt;&gt;&gt;&gt; Gallons (Brit.) </v>
      </c>
      <c r="W647" t="s">
        <v>571</v>
      </c>
      <c r="X647" t="s">
        <v>573</v>
      </c>
      <c r="Y647">
        <v>0.125</v>
      </c>
    </row>
    <row r="648" spans="22:25" ht="15">
      <c r="V648" t="str">
        <f t="shared" si="10"/>
        <v>Pints (Brit.)  &lt;&lt;&lt;&gt;&gt;&gt; Gills (Brit.) </v>
      </c>
      <c r="W648" t="s">
        <v>571</v>
      </c>
      <c r="X648" t="s">
        <v>574</v>
      </c>
      <c r="Y648">
        <v>4</v>
      </c>
    </row>
    <row r="649" spans="22:25" ht="15">
      <c r="V649" t="str">
        <f t="shared" si="10"/>
        <v>Pints (Brit.)  &lt;&lt;&lt;&gt;&gt;&gt; Liters </v>
      </c>
      <c r="W649" t="s">
        <v>571</v>
      </c>
      <c r="X649" t="s">
        <v>239</v>
      </c>
      <c r="Y649">
        <v>0.56826125</v>
      </c>
    </row>
    <row r="650" spans="22:25" ht="15">
      <c r="V650" t="str">
        <f t="shared" si="10"/>
        <v>Pints (Brit.)  &lt;&lt;&lt;&gt;&gt;&gt; Milliliters </v>
      </c>
      <c r="W650" t="s">
        <v>571</v>
      </c>
      <c r="X650" t="s">
        <v>550</v>
      </c>
      <c r="Y650">
        <v>568.26125</v>
      </c>
    </row>
    <row r="651" spans="22:25" ht="15">
      <c r="V651" t="str">
        <f t="shared" si="10"/>
        <v>Pints (Brit.)  &lt;&lt;&lt;&gt;&gt;&gt; Ounces (Brit. fluid) </v>
      </c>
      <c r="W651" t="s">
        <v>571</v>
      </c>
      <c r="X651" t="s">
        <v>575</v>
      </c>
      <c r="Y651">
        <v>20</v>
      </c>
    </row>
    <row r="652" spans="22:25" ht="15">
      <c r="V652" t="str">
        <f t="shared" si="10"/>
        <v>Pints (Brit.)  &lt;&lt;&lt;&gt;&gt;&gt; Pints (US dry) </v>
      </c>
      <c r="W652" t="s">
        <v>571</v>
      </c>
      <c r="X652" t="s">
        <v>576</v>
      </c>
      <c r="Y652">
        <v>1.032057</v>
      </c>
    </row>
    <row r="653" spans="22:25" ht="15">
      <c r="V653" t="str">
        <f t="shared" si="10"/>
        <v>Pints (Brit.)  &lt;&lt;&lt;&gt;&gt;&gt; Pints (US liquid) </v>
      </c>
      <c r="W653" t="s">
        <v>571</v>
      </c>
      <c r="X653" t="s">
        <v>577</v>
      </c>
      <c r="Y653">
        <v>1.20095</v>
      </c>
    </row>
    <row r="654" spans="22:25" ht="15">
      <c r="V654" t="str">
        <f t="shared" si="10"/>
        <v>Pints (US dry)  &lt;&lt;&lt;&gt;&gt;&gt; Quarts (US dry) </v>
      </c>
      <c r="W654" t="s">
        <v>576</v>
      </c>
      <c r="X654" t="s">
        <v>578</v>
      </c>
      <c r="Y654">
        <v>0.5</v>
      </c>
    </row>
    <row r="655" spans="22:25" ht="15">
      <c r="V655" t="str">
        <f t="shared" si="10"/>
        <v>Pints (US liquid)  &lt;&lt;&lt;&gt;&gt;&gt; Cubic cm </v>
      </c>
      <c r="W655" t="s">
        <v>577</v>
      </c>
      <c r="X655" t="s">
        <v>407</v>
      </c>
      <c r="Y655">
        <v>473.1765</v>
      </c>
    </row>
    <row r="656" spans="22:25" ht="15">
      <c r="V656" t="str">
        <f t="shared" si="10"/>
        <v>Pints (US liquid)  &lt;&lt;&lt;&gt;&gt;&gt; Cubic Feet </v>
      </c>
      <c r="W656" t="s">
        <v>577</v>
      </c>
      <c r="X656" t="s">
        <v>1093</v>
      </c>
      <c r="Y656">
        <v>0.01671</v>
      </c>
    </row>
    <row r="657" spans="22:25" ht="15">
      <c r="V657" t="str">
        <f t="shared" si="10"/>
        <v>Pints (US liquid)  &lt;&lt;&lt;&gt;&gt;&gt; Cubic Inches </v>
      </c>
      <c r="W657" t="s">
        <v>577</v>
      </c>
      <c r="X657" t="s">
        <v>237</v>
      </c>
      <c r="Y657">
        <v>28.875</v>
      </c>
    </row>
    <row r="658" spans="22:25" ht="15">
      <c r="V658" t="str">
        <f t="shared" si="10"/>
        <v>Pints (US liquid)  &lt;&lt;&lt;&gt;&gt;&gt; Cubic Meters </v>
      </c>
      <c r="W658" t="s">
        <v>577</v>
      </c>
      <c r="X658" t="s">
        <v>238</v>
      </c>
      <c r="Y658">
        <v>0.000473</v>
      </c>
    </row>
    <row r="659" spans="22:25" ht="15">
      <c r="V659" t="str">
        <f t="shared" si="10"/>
        <v>Pints (US liquid)  &lt;&lt;&lt;&gt;&gt;&gt; Cubic Yards </v>
      </c>
      <c r="W659" t="s">
        <v>577</v>
      </c>
      <c r="X659" t="s">
        <v>306</v>
      </c>
      <c r="Y659">
        <v>0.000619</v>
      </c>
    </row>
    <row r="660" spans="22:25" ht="15">
      <c r="V660" t="str">
        <f t="shared" si="10"/>
        <v>Pints (US liquid)  &lt;&lt;&lt;&gt;&gt;&gt; Gallons (US) </v>
      </c>
      <c r="W660" t="s">
        <v>577</v>
      </c>
      <c r="X660" t="s">
        <v>397</v>
      </c>
      <c r="Y660">
        <v>0.125</v>
      </c>
    </row>
    <row r="661" spans="22:25" ht="15">
      <c r="V661" t="str">
        <f t="shared" si="10"/>
        <v>Pints (US liquid)  &lt;&lt;&lt;&gt;&gt;&gt; Gills (US) </v>
      </c>
      <c r="W661" t="s">
        <v>577</v>
      </c>
      <c r="X661" t="s">
        <v>579</v>
      </c>
      <c r="Y661">
        <v>4</v>
      </c>
    </row>
    <row r="662" spans="22:25" ht="15">
      <c r="V662" t="str">
        <f t="shared" si="10"/>
        <v>Pints (US liquid)  &lt;&lt;&lt;&gt;&gt;&gt; Liters </v>
      </c>
      <c r="W662" t="s">
        <v>577</v>
      </c>
      <c r="X662" t="s">
        <v>239</v>
      </c>
      <c r="Y662">
        <v>0.4731765</v>
      </c>
    </row>
    <row r="663" spans="22:25" ht="15">
      <c r="V663" t="str">
        <f t="shared" si="10"/>
        <v>Pints (US liquid)  &lt;&lt;&lt;&gt;&gt;&gt; Milliliters </v>
      </c>
      <c r="W663" t="s">
        <v>577</v>
      </c>
      <c r="X663" t="s">
        <v>550</v>
      </c>
      <c r="Y663">
        <v>473.1765</v>
      </c>
    </row>
    <row r="664" spans="22:25" ht="15">
      <c r="V664" t="str">
        <f t="shared" si="10"/>
        <v>Pints (US liquid)  &lt;&lt;&lt;&gt;&gt;&gt; Ounce (US fluid) </v>
      </c>
      <c r="W664" t="s">
        <v>577</v>
      </c>
      <c r="X664" t="s">
        <v>580</v>
      </c>
      <c r="Y664">
        <v>16</v>
      </c>
    </row>
    <row r="665" spans="22:25" ht="15">
      <c r="V665" t="str">
        <f t="shared" si="10"/>
        <v>Pints (US liquid)  &lt;&lt;&lt;&gt;&gt;&gt; Pints (Brit. liquid) </v>
      </c>
      <c r="W665" t="s">
        <v>577</v>
      </c>
      <c r="X665" t="s">
        <v>581</v>
      </c>
      <c r="Y665">
        <v>0.8326742</v>
      </c>
    </row>
    <row r="666" spans="22:25" ht="15">
      <c r="V666" t="str">
        <f t="shared" si="10"/>
        <v>Pints (US liquid)  &lt;&lt;&lt;&gt;&gt;&gt; Quarts (liquid) </v>
      </c>
      <c r="W666" t="s">
        <v>577</v>
      </c>
      <c r="X666" t="s">
        <v>582</v>
      </c>
      <c r="Y666">
        <v>0.5</v>
      </c>
    </row>
    <row r="667" spans="22:25" ht="15">
      <c r="V667" t="str">
        <f t="shared" si="10"/>
        <v>Poundal &lt;&lt;&lt;&gt;&gt;&gt; Newtons (N)</v>
      </c>
      <c r="W667" t="s">
        <v>558</v>
      </c>
      <c r="X667" t="s">
        <v>361</v>
      </c>
      <c r="Y667">
        <v>0.138255</v>
      </c>
    </row>
    <row r="668" spans="22:25" ht="15">
      <c r="V668" t="str">
        <f t="shared" si="10"/>
        <v>Poundals &lt;&lt;&lt;&gt;&gt;&gt; Dynes</v>
      </c>
      <c r="W668" t="s">
        <v>362</v>
      </c>
      <c r="X668" t="s">
        <v>358</v>
      </c>
      <c r="Y668">
        <v>13826</v>
      </c>
    </row>
    <row r="669" spans="22:25" ht="15">
      <c r="V669" t="str">
        <f t="shared" si="10"/>
        <v>Poundals  &lt;&lt;&lt;&gt;&gt;&gt; Grams </v>
      </c>
      <c r="W669" t="s">
        <v>365</v>
      </c>
      <c r="X669" t="s">
        <v>254</v>
      </c>
      <c r="Y669">
        <v>14.1</v>
      </c>
    </row>
    <row r="670" spans="22:25" ht="15">
      <c r="V670" t="str">
        <f t="shared" si="10"/>
        <v>Poundals  &lt;&lt;&lt;&gt;&gt;&gt; Kilograms </v>
      </c>
      <c r="W670" t="s">
        <v>365</v>
      </c>
      <c r="X670" t="s">
        <v>364</v>
      </c>
      <c r="Y670">
        <v>0.0141</v>
      </c>
    </row>
    <row r="671" spans="22:25" ht="15">
      <c r="V671" t="str">
        <f t="shared" si="10"/>
        <v>Poundals  &lt;&lt;&lt;&gt;&gt;&gt; Pounds </v>
      </c>
      <c r="W671" t="s">
        <v>365</v>
      </c>
      <c r="X671" t="s">
        <v>366</v>
      </c>
      <c r="Y671">
        <v>0.03108</v>
      </c>
    </row>
    <row r="672" spans="22:25" ht="15">
      <c r="V672" t="str">
        <f t="shared" si="10"/>
        <v>Pound-Feet &lt;&lt;&lt;&gt;&gt;&gt; Centimeter-Dynes</v>
      </c>
      <c r="W672" t="s">
        <v>260</v>
      </c>
      <c r="X672" t="s">
        <v>258</v>
      </c>
      <c r="Y672">
        <v>13600000</v>
      </c>
    </row>
    <row r="673" spans="22:25" ht="15">
      <c r="V673" t="str">
        <f t="shared" si="10"/>
        <v>Pound-Feet &lt;&lt;&lt;&gt;&gt;&gt; Centimeter-Grams</v>
      </c>
      <c r="W673" t="s">
        <v>260</v>
      </c>
      <c r="X673" t="s">
        <v>284</v>
      </c>
      <c r="Y673">
        <v>13825</v>
      </c>
    </row>
    <row r="674" spans="22:25" ht="15">
      <c r="V674" t="str">
        <f t="shared" si="10"/>
        <v>Pound-Feet &lt;&lt;&lt;&gt;&gt;&gt; Meter-kgs</v>
      </c>
      <c r="W674" t="s">
        <v>260</v>
      </c>
      <c r="X674" t="s">
        <v>259</v>
      </c>
      <c r="Y674">
        <v>0.1383</v>
      </c>
    </row>
    <row r="675" spans="22:25" ht="15">
      <c r="V675" t="str">
        <f t="shared" si="10"/>
        <v>Pounds &lt;&lt;&lt;&gt;&gt;&gt; Dynes</v>
      </c>
      <c r="W675" t="s">
        <v>80</v>
      </c>
      <c r="X675" t="s">
        <v>358</v>
      </c>
      <c r="Y675">
        <v>445000</v>
      </c>
    </row>
    <row r="676" spans="22:25" ht="15">
      <c r="V676" t="str">
        <f t="shared" si="10"/>
        <v>Pounds  &lt;&lt;&lt;&gt;&gt;&gt; Drams </v>
      </c>
      <c r="W676" t="s">
        <v>366</v>
      </c>
      <c r="X676" t="s">
        <v>340</v>
      </c>
      <c r="Y676">
        <v>256</v>
      </c>
    </row>
    <row r="677" spans="22:25" ht="15">
      <c r="V677" t="str">
        <f t="shared" si="10"/>
        <v>Pounds  &lt;&lt;&lt;&gt;&gt;&gt; Dynes </v>
      </c>
      <c r="W677" t="s">
        <v>366</v>
      </c>
      <c r="X677" t="s">
        <v>363</v>
      </c>
      <c r="Y677">
        <v>445000</v>
      </c>
    </row>
    <row r="678" spans="22:25" ht="15">
      <c r="V678" t="str">
        <f t="shared" si="10"/>
        <v>Pounds  &lt;&lt;&lt;&gt;&gt;&gt; Grains </v>
      </c>
      <c r="W678" t="s">
        <v>366</v>
      </c>
      <c r="X678" t="s">
        <v>341</v>
      </c>
      <c r="Y678">
        <v>7000</v>
      </c>
    </row>
    <row r="679" spans="22:25" ht="15">
      <c r="V679" t="str">
        <f t="shared" si="10"/>
        <v>Pounds  &lt;&lt;&lt;&gt;&gt;&gt; Grams </v>
      </c>
      <c r="W679" t="s">
        <v>366</v>
      </c>
      <c r="X679" t="s">
        <v>254</v>
      </c>
      <c r="Y679">
        <v>453.5924</v>
      </c>
    </row>
    <row r="680" spans="22:25" ht="15">
      <c r="V680" t="str">
        <f t="shared" si="10"/>
        <v>Pounds  &lt;&lt;&lt;&gt;&gt;&gt; joules/cm </v>
      </c>
      <c r="W680" t="s">
        <v>366</v>
      </c>
      <c r="X680" t="s">
        <v>472</v>
      </c>
      <c r="Y680">
        <v>0.04448</v>
      </c>
    </row>
    <row r="681" spans="22:25" ht="15">
      <c r="V681" t="str">
        <f t="shared" si="10"/>
        <v>Pounds  &lt;&lt;&lt;&gt;&gt;&gt; joules/meter (newtons) </v>
      </c>
      <c r="W681" t="s">
        <v>366</v>
      </c>
      <c r="X681" t="s">
        <v>473</v>
      </c>
      <c r="Y681">
        <v>4.448</v>
      </c>
    </row>
    <row r="682" spans="22:25" ht="15">
      <c r="V682" t="str">
        <f t="shared" si="10"/>
        <v>Pounds  &lt;&lt;&lt;&gt;&gt;&gt; Kilograms </v>
      </c>
      <c r="W682" t="s">
        <v>366</v>
      </c>
      <c r="X682" t="s">
        <v>364</v>
      </c>
      <c r="Y682">
        <v>0.4536</v>
      </c>
    </row>
    <row r="683" spans="22:25" ht="15">
      <c r="V683" t="str">
        <f t="shared" si="10"/>
        <v>Pounds  &lt;&lt;&lt;&gt;&gt;&gt; Ounces </v>
      </c>
      <c r="W683" t="s">
        <v>366</v>
      </c>
      <c r="X683" t="s">
        <v>342</v>
      </c>
      <c r="Y683">
        <v>16</v>
      </c>
    </row>
    <row r="684" spans="22:25" ht="15">
      <c r="V684" t="str">
        <f t="shared" si="10"/>
        <v>Pounds  &lt;&lt;&lt;&gt;&gt;&gt; Ounces (troy) </v>
      </c>
      <c r="W684" t="s">
        <v>366</v>
      </c>
      <c r="X684" t="s">
        <v>344</v>
      </c>
      <c r="Y684">
        <v>14.5833</v>
      </c>
    </row>
    <row r="685" spans="22:25" ht="15">
      <c r="V685" t="str">
        <f t="shared" si="10"/>
        <v>Pounds  &lt;&lt;&lt;&gt;&gt;&gt; Poundals </v>
      </c>
      <c r="W685" t="s">
        <v>366</v>
      </c>
      <c r="X685" t="s">
        <v>365</v>
      </c>
      <c r="Y685">
        <v>32.17</v>
      </c>
    </row>
    <row r="686" spans="22:25" ht="15">
      <c r="V686" t="str">
        <f t="shared" si="10"/>
        <v>Pounds  &lt;&lt;&lt;&gt;&gt;&gt; Pounds (troy) </v>
      </c>
      <c r="W686" t="s">
        <v>366</v>
      </c>
      <c r="X686" t="s">
        <v>566</v>
      </c>
      <c r="Y686">
        <v>1.21528</v>
      </c>
    </row>
    <row r="687" spans="22:25" ht="15">
      <c r="V687" t="str">
        <f t="shared" si="10"/>
        <v>Pounds  &lt;&lt;&lt;&gt;&gt;&gt; Stones (British) </v>
      </c>
      <c r="W687" t="s">
        <v>366</v>
      </c>
      <c r="X687" t="s">
        <v>583</v>
      </c>
      <c r="Y687">
        <v>0.07142857</v>
      </c>
    </row>
    <row r="688" spans="22:25" ht="15">
      <c r="V688" t="str">
        <f t="shared" si="10"/>
        <v>Pounds  &lt;&lt;&lt;&gt;&gt;&gt; Tons (short) </v>
      </c>
      <c r="W688" t="s">
        <v>366</v>
      </c>
      <c r="X688" t="s">
        <v>474</v>
      </c>
      <c r="Y688">
        <v>0.0005</v>
      </c>
    </row>
    <row r="689" spans="22:25" ht="15">
      <c r="V689" t="str">
        <f t="shared" si="10"/>
        <v>Pounds (avoirdupois) &lt;&lt;&lt;&gt;&gt;&gt; Kilograms (kg)</v>
      </c>
      <c r="W689" t="s">
        <v>466</v>
      </c>
      <c r="X689" t="s">
        <v>414</v>
      </c>
      <c r="Y689">
        <v>0.4535924</v>
      </c>
    </row>
    <row r="690" spans="22:25" ht="15">
      <c r="V690" t="str">
        <f t="shared" si="10"/>
        <v>Pounds (troy)  &lt;&lt;&lt;&gt;&gt;&gt; Grains </v>
      </c>
      <c r="W690" t="s">
        <v>566</v>
      </c>
      <c r="X690" t="s">
        <v>341</v>
      </c>
      <c r="Y690">
        <v>5760</v>
      </c>
    </row>
    <row r="691" spans="22:25" ht="15">
      <c r="V691" t="str">
        <f t="shared" si="10"/>
        <v>Pounds (troy)  &lt;&lt;&lt;&gt;&gt;&gt; Grams </v>
      </c>
      <c r="W691" t="s">
        <v>566</v>
      </c>
      <c r="X691" t="s">
        <v>254</v>
      </c>
      <c r="Y691">
        <v>373.24177</v>
      </c>
    </row>
    <row r="692" spans="22:25" ht="15">
      <c r="V692" t="str">
        <f t="shared" si="10"/>
        <v>Pounds (troy)  &lt;&lt;&lt;&gt;&gt;&gt; Ounces (avoirdupois) </v>
      </c>
      <c r="W692" t="s">
        <v>566</v>
      </c>
      <c r="X692" t="s">
        <v>411</v>
      </c>
      <c r="Y692">
        <v>13.1657</v>
      </c>
    </row>
    <row r="693" spans="22:25" ht="15">
      <c r="V693" t="str">
        <f t="shared" si="10"/>
        <v>Pounds (troy)  &lt;&lt;&lt;&gt;&gt;&gt; Ounces (troy) </v>
      </c>
      <c r="W693" t="s">
        <v>566</v>
      </c>
      <c r="X693" t="s">
        <v>344</v>
      </c>
      <c r="Y693">
        <v>12</v>
      </c>
    </row>
    <row r="694" spans="22:25" ht="15">
      <c r="V694" t="str">
        <f t="shared" si="10"/>
        <v>Pounds (troy)  &lt;&lt;&lt;&gt;&gt;&gt; Pennyweights (troy) </v>
      </c>
      <c r="W694" t="s">
        <v>566</v>
      </c>
      <c r="X694" t="s">
        <v>565</v>
      </c>
      <c r="Y694">
        <v>240</v>
      </c>
    </row>
    <row r="695" spans="22:25" ht="15">
      <c r="V695" t="str">
        <f t="shared" si="10"/>
        <v>Pounds (troy)  &lt;&lt;&lt;&gt;&gt;&gt; Pounds (avoirdupois) </v>
      </c>
      <c r="W695" t="s">
        <v>566</v>
      </c>
      <c r="X695" t="s">
        <v>584</v>
      </c>
      <c r="Y695">
        <v>0.822857</v>
      </c>
    </row>
    <row r="696" spans="22:25" ht="15">
      <c r="V696" t="str">
        <f t="shared" si="10"/>
        <v>Pounds (troy)  &lt;&lt;&lt;&gt;&gt;&gt; Tons (long) </v>
      </c>
      <c r="W696" t="s">
        <v>566</v>
      </c>
      <c r="X696" t="s">
        <v>450</v>
      </c>
      <c r="Y696">
        <v>0.000367</v>
      </c>
    </row>
    <row r="697" spans="22:25" ht="15">
      <c r="V697" t="str">
        <f t="shared" si="10"/>
        <v>Pounds (troy)  &lt;&lt;&lt;&gt;&gt;&gt; Tons (metric) </v>
      </c>
      <c r="W697" t="s">
        <v>566</v>
      </c>
      <c r="X697" t="s">
        <v>452</v>
      </c>
      <c r="Y697">
        <v>0.000373</v>
      </c>
    </row>
    <row r="698" spans="22:25" ht="15">
      <c r="V698" t="str">
        <f t="shared" si="10"/>
        <v>Pounds (troy)  &lt;&lt;&lt;&gt;&gt;&gt; Tons (short) </v>
      </c>
      <c r="W698" t="s">
        <v>566</v>
      </c>
      <c r="X698" t="s">
        <v>474</v>
      </c>
      <c r="Y698">
        <v>0.000411</v>
      </c>
    </row>
    <row r="699" spans="22:25" ht="15">
      <c r="V699" t="str">
        <f t="shared" si="10"/>
        <v>Pounds of water  &lt;&lt;&lt;&gt;&gt;&gt; Cubic Feet </v>
      </c>
      <c r="W699" t="s">
        <v>585</v>
      </c>
      <c r="X699" t="s">
        <v>1093</v>
      </c>
      <c r="Y699">
        <v>0.01602</v>
      </c>
    </row>
    <row r="700" spans="22:25" ht="15">
      <c r="V700" t="str">
        <f t="shared" si="10"/>
        <v>Pounds of water  &lt;&lt;&lt;&gt;&gt;&gt; Cubic Inches </v>
      </c>
      <c r="W700" t="s">
        <v>585</v>
      </c>
      <c r="X700" t="s">
        <v>237</v>
      </c>
      <c r="Y700">
        <v>27.68</v>
      </c>
    </row>
    <row r="701" spans="22:25" ht="15">
      <c r="V701" t="str">
        <f t="shared" si="10"/>
        <v>Pounds of water  &lt;&lt;&lt;&gt;&gt;&gt; Gallons </v>
      </c>
      <c r="W701" t="s">
        <v>585</v>
      </c>
      <c r="X701" t="s">
        <v>1125</v>
      </c>
      <c r="Y701">
        <v>0.1198</v>
      </c>
    </row>
    <row r="702" spans="22:25" ht="15">
      <c r="V702" t="str">
        <f t="shared" si="10"/>
        <v>Pounds of water/Minute  &lt;&lt;&lt;&gt;&gt;&gt; Cubic Feet/Second </v>
      </c>
      <c r="W702" t="s">
        <v>317</v>
      </c>
      <c r="X702" t="s">
        <v>318</v>
      </c>
      <c r="Y702">
        <v>0.000267</v>
      </c>
    </row>
    <row r="703" spans="22:25" ht="15">
      <c r="V703" t="str">
        <f t="shared" si="10"/>
        <v>Pounds per Cubic Feet &lt;&lt;&lt;&gt;&gt;&gt; Kilograms per Cubic Meter</v>
      </c>
      <c r="W703" t="s">
        <v>476</v>
      </c>
      <c r="X703" t="s">
        <v>475</v>
      </c>
      <c r="Y703">
        <v>16.01846</v>
      </c>
    </row>
    <row r="704" spans="22:25" ht="15">
      <c r="V704" t="str">
        <f t="shared" si="10"/>
        <v>Pounds per Cubic Inch &lt;&lt;&lt;&gt;&gt;&gt; Grams per Cubic Centimeter</v>
      </c>
      <c r="W704" t="s">
        <v>424</v>
      </c>
      <c r="X704" t="s">
        <v>423</v>
      </c>
      <c r="Y704">
        <v>27.6799</v>
      </c>
    </row>
    <row r="705" spans="22:25" ht="15">
      <c r="V705" t="str">
        <f t="shared" si="10"/>
        <v>Pounds per Foot &lt;&lt;&lt;&gt;&gt;&gt; Newtons (N)</v>
      </c>
      <c r="W705" t="s">
        <v>561</v>
      </c>
      <c r="X705" t="s">
        <v>361</v>
      </c>
      <c r="Y705">
        <v>14.5939</v>
      </c>
    </row>
    <row r="706" spans="22:25" ht="15">
      <c r="V706" t="str">
        <f t="shared" si="10"/>
        <v>Pounds per Gallon (U.K. liquid) &lt;&lt;&lt;&gt;&gt;&gt; Kilograms per Cubic Meter</v>
      </c>
      <c r="W706" t="s">
        <v>477</v>
      </c>
      <c r="X706" t="s">
        <v>475</v>
      </c>
      <c r="Y706">
        <v>99.77633</v>
      </c>
    </row>
    <row r="707" spans="22:25" ht="15">
      <c r="V707" t="str">
        <f aca="true" t="shared" si="11" ref="V707:V770">IF(W707="","",W707&amp;" &lt;&lt;&lt;&gt;&gt;&gt; "&amp;X707)</f>
        <v>Pounds per Gallon (U.S. liquid) &lt;&lt;&lt;&gt;&gt;&gt; Kilograms per Cubic Meter</v>
      </c>
      <c r="W707" t="s">
        <v>478</v>
      </c>
      <c r="X707" t="s">
        <v>475</v>
      </c>
      <c r="Y707">
        <v>119.8264</v>
      </c>
    </row>
    <row r="708" spans="22:25" ht="15">
      <c r="V708" t="str">
        <f t="shared" si="11"/>
        <v>Pounds per Inch &lt;&lt;&lt;&gt;&gt;&gt; Newtons (N)</v>
      </c>
      <c r="W708" t="s">
        <v>562</v>
      </c>
      <c r="X708" t="s">
        <v>361</v>
      </c>
      <c r="Y708">
        <v>175.1268</v>
      </c>
    </row>
    <row r="709" spans="22:25" ht="15">
      <c r="V709" t="str">
        <f t="shared" si="11"/>
        <v>Pounds/cu Foot  &lt;&lt;&lt;&gt;&gt;&gt; grams/cu cm </v>
      </c>
      <c r="W709" t="s">
        <v>586</v>
      </c>
      <c r="X709" t="s">
        <v>480</v>
      </c>
      <c r="Y709">
        <v>0.01602</v>
      </c>
    </row>
    <row r="710" spans="22:25" ht="15">
      <c r="V710" t="str">
        <f t="shared" si="11"/>
        <v>Pounds/cu Foot  &lt;&lt;&lt;&gt;&gt;&gt; Kgs/cu meter </v>
      </c>
      <c r="W710" t="s">
        <v>586</v>
      </c>
      <c r="X710" t="s">
        <v>587</v>
      </c>
      <c r="Y710">
        <v>16.02</v>
      </c>
    </row>
    <row r="711" spans="22:25" ht="15">
      <c r="V711" t="str">
        <f t="shared" si="11"/>
        <v>Pounds/cu Foot  &lt;&lt;&lt;&gt;&gt;&gt; Pounds/cu Inch </v>
      </c>
      <c r="W711" t="s">
        <v>586</v>
      </c>
      <c r="X711" t="s">
        <v>482</v>
      </c>
      <c r="Y711">
        <v>0.000579</v>
      </c>
    </row>
    <row r="712" spans="22:25" ht="15">
      <c r="V712" t="str">
        <f t="shared" si="11"/>
        <v>Pounds/cu Foot  &lt;&lt;&lt;&gt;&gt;&gt; Pounds/mil-foot </v>
      </c>
      <c r="W712" t="s">
        <v>586</v>
      </c>
      <c r="X712" t="s">
        <v>483</v>
      </c>
      <c r="Y712">
        <v>5.46E-09</v>
      </c>
    </row>
    <row r="713" spans="22:25" ht="15">
      <c r="V713" t="str">
        <f t="shared" si="11"/>
        <v>Pounds/cu Inch  &lt;&lt;&lt;&gt;&gt;&gt; gms/cu cm </v>
      </c>
      <c r="W713" t="s">
        <v>482</v>
      </c>
      <c r="X713" t="s">
        <v>588</v>
      </c>
      <c r="Y713">
        <v>27.68</v>
      </c>
    </row>
    <row r="714" spans="22:25" ht="15">
      <c r="V714" t="str">
        <f t="shared" si="11"/>
        <v>Pounds/cu Inch  &lt;&lt;&lt;&gt;&gt;&gt; Kgs/cu meter </v>
      </c>
      <c r="W714" t="s">
        <v>482</v>
      </c>
      <c r="X714" t="s">
        <v>587</v>
      </c>
      <c r="Y714">
        <v>27700</v>
      </c>
    </row>
    <row r="715" spans="22:25" ht="15">
      <c r="V715" t="str">
        <f t="shared" si="11"/>
        <v>Pounds/cu Inch  &lt;&lt;&lt;&gt;&gt;&gt; Pounds/cu Foot </v>
      </c>
      <c r="W715" t="s">
        <v>482</v>
      </c>
      <c r="X715" t="s">
        <v>586</v>
      </c>
      <c r="Y715">
        <v>1728</v>
      </c>
    </row>
    <row r="716" spans="22:25" ht="15">
      <c r="V716" t="str">
        <f t="shared" si="11"/>
        <v>Pounds/cu Inch  &lt;&lt;&lt;&gt;&gt;&gt; Pounds/mil-foot </v>
      </c>
      <c r="W716" t="s">
        <v>482</v>
      </c>
      <c r="X716" t="s">
        <v>483</v>
      </c>
      <c r="Y716">
        <v>9.43E-06</v>
      </c>
    </row>
    <row r="717" spans="22:25" ht="15">
      <c r="V717" t="str">
        <f t="shared" si="11"/>
        <v>Pounds/sq Foot  &lt;&lt;&lt;&gt;&gt;&gt; Atmospheres </v>
      </c>
      <c r="W717" t="s">
        <v>484</v>
      </c>
      <c r="X717" t="s">
        <v>1107</v>
      </c>
      <c r="Y717">
        <v>0.000473</v>
      </c>
    </row>
    <row r="718" spans="22:25" ht="15">
      <c r="V718" t="str">
        <f t="shared" si="11"/>
        <v>Pounds/sq Foot  &lt;&lt;&lt;&gt;&gt;&gt; Feet of water </v>
      </c>
      <c r="W718" t="s">
        <v>484</v>
      </c>
      <c r="X718" t="s">
        <v>263</v>
      </c>
      <c r="Y718">
        <v>0.01602</v>
      </c>
    </row>
    <row r="719" spans="22:25" ht="15">
      <c r="V719" t="str">
        <f t="shared" si="11"/>
        <v>Pounds/sq Foot  &lt;&lt;&lt;&gt;&gt;&gt; Kgs/sq meter </v>
      </c>
      <c r="W719" t="s">
        <v>484</v>
      </c>
      <c r="X719" t="s">
        <v>491</v>
      </c>
      <c r="Y719">
        <v>4.882</v>
      </c>
    </row>
    <row r="720" spans="22:25" ht="15">
      <c r="V720" t="str">
        <f t="shared" si="11"/>
        <v>Pounds/sq Foot  &lt;&lt;&lt;&gt;&gt;&gt; Pounds/sq Inch </v>
      </c>
      <c r="W720" t="s">
        <v>484</v>
      </c>
      <c r="X720" t="s">
        <v>485</v>
      </c>
      <c r="Y720">
        <v>0.00694</v>
      </c>
    </row>
    <row r="721" spans="22:25" ht="15">
      <c r="V721" t="str">
        <f t="shared" si="11"/>
        <v>Pounds/sq Inch  &lt;&lt;&lt;&gt;&gt;&gt; Atmospheres </v>
      </c>
      <c r="W721" t="s">
        <v>485</v>
      </c>
      <c r="X721" t="s">
        <v>1107</v>
      </c>
      <c r="Y721">
        <v>0.06804</v>
      </c>
    </row>
    <row r="722" spans="22:25" ht="15">
      <c r="V722" t="str">
        <f t="shared" si="11"/>
        <v>Pounds/sq Inch  &lt;&lt;&lt;&gt;&gt;&gt; Feet of water </v>
      </c>
      <c r="W722" t="s">
        <v>485</v>
      </c>
      <c r="X722" t="s">
        <v>263</v>
      </c>
      <c r="Y722">
        <v>2.307</v>
      </c>
    </row>
    <row r="723" spans="22:25" ht="15">
      <c r="V723" t="str">
        <f t="shared" si="11"/>
        <v>Pounds/sq Inch  &lt;&lt;&lt;&gt;&gt;&gt; Kgs/sq meter </v>
      </c>
      <c r="W723" t="s">
        <v>485</v>
      </c>
      <c r="X723" t="s">
        <v>491</v>
      </c>
      <c r="Y723">
        <v>703.1</v>
      </c>
    </row>
    <row r="724" spans="22:25" ht="15">
      <c r="V724" t="str">
        <f t="shared" si="11"/>
        <v>Pounds/sq Inch  &lt;&lt;&lt;&gt;&gt;&gt; Pounds/sq Foot </v>
      </c>
      <c r="W724" t="s">
        <v>485</v>
      </c>
      <c r="X724" t="s">
        <v>484</v>
      </c>
      <c r="Y724">
        <v>144</v>
      </c>
    </row>
    <row r="725" spans="22:25" ht="15">
      <c r="V725" t="str">
        <f t="shared" si="11"/>
        <v>Pounds-Force &lt;&lt;&lt;&gt;&gt;&gt; Newtons (N)</v>
      </c>
      <c r="W725" t="s">
        <v>559</v>
      </c>
      <c r="X725" t="s">
        <v>361</v>
      </c>
      <c r="Y725">
        <v>4.448222</v>
      </c>
    </row>
    <row r="726" spans="22:25" ht="15">
      <c r="V726" t="str">
        <f t="shared" si="11"/>
        <v>Quarts (dry)  &lt;&lt;&lt;&gt;&gt;&gt; Cubic Inches </v>
      </c>
      <c r="W726" t="s">
        <v>1122</v>
      </c>
      <c r="X726" t="s">
        <v>237</v>
      </c>
      <c r="Y726">
        <v>67.2</v>
      </c>
    </row>
    <row r="727" spans="22:25" ht="15">
      <c r="V727" t="str">
        <f t="shared" si="11"/>
        <v>Quarts (liquid)  &lt;&lt;&lt;&gt;&gt;&gt; Cubic Centimeters </v>
      </c>
      <c r="W727" t="s">
        <v>582</v>
      </c>
      <c r="X727" t="s">
        <v>305</v>
      </c>
      <c r="Y727">
        <v>946.4</v>
      </c>
    </row>
    <row r="728" spans="22:25" ht="15">
      <c r="V728" t="str">
        <f t="shared" si="11"/>
        <v>Quarts (liquid)  &lt;&lt;&lt;&gt;&gt;&gt; Cubic Feet </v>
      </c>
      <c r="W728" t="s">
        <v>582</v>
      </c>
      <c r="X728" t="s">
        <v>1093</v>
      </c>
      <c r="Y728">
        <v>0.03342</v>
      </c>
    </row>
    <row r="729" spans="22:25" ht="15">
      <c r="V729" t="str">
        <f t="shared" si="11"/>
        <v>Quarts (liquid)  &lt;&lt;&lt;&gt;&gt;&gt; Cubic Inches </v>
      </c>
      <c r="W729" t="s">
        <v>582</v>
      </c>
      <c r="X729" t="s">
        <v>237</v>
      </c>
      <c r="Y729">
        <v>57.75</v>
      </c>
    </row>
    <row r="730" spans="22:25" ht="15">
      <c r="V730" t="str">
        <f t="shared" si="11"/>
        <v>Quarts (liquid)  &lt;&lt;&lt;&gt;&gt;&gt; Cubic Meters </v>
      </c>
      <c r="W730" t="s">
        <v>582</v>
      </c>
      <c r="X730" t="s">
        <v>238</v>
      </c>
      <c r="Y730">
        <v>0.000946</v>
      </c>
    </row>
    <row r="731" spans="22:25" ht="15">
      <c r="V731" t="str">
        <f t="shared" si="11"/>
        <v>Quarts (liquid)  &lt;&lt;&lt;&gt;&gt;&gt; Cubic Yards </v>
      </c>
      <c r="W731" t="s">
        <v>582</v>
      </c>
      <c r="X731" t="s">
        <v>306</v>
      </c>
      <c r="Y731">
        <v>0.00124</v>
      </c>
    </row>
    <row r="732" spans="22:25" ht="15">
      <c r="V732" t="str">
        <f t="shared" si="11"/>
        <v>Quarts (liquid)  &lt;&lt;&lt;&gt;&gt;&gt; Gallons </v>
      </c>
      <c r="W732" t="s">
        <v>582</v>
      </c>
      <c r="X732" t="s">
        <v>1125</v>
      </c>
      <c r="Y732">
        <v>0.25</v>
      </c>
    </row>
    <row r="733" spans="22:25" ht="15">
      <c r="V733" t="str">
        <f t="shared" si="11"/>
        <v>Quarts (liquid)  &lt;&lt;&lt;&gt;&gt;&gt; Liters </v>
      </c>
      <c r="W733" t="s">
        <v>582</v>
      </c>
      <c r="X733" t="s">
        <v>239</v>
      </c>
      <c r="Y733">
        <v>0.9463</v>
      </c>
    </row>
    <row r="734" spans="22:25" ht="15">
      <c r="V734" t="str">
        <f t="shared" si="11"/>
        <v>Revolutions/Minutes  &lt;&lt;&lt;&gt;&gt;&gt; Revs./Seconds </v>
      </c>
      <c r="W734" t="s">
        <v>335</v>
      </c>
      <c r="X734" t="s">
        <v>589</v>
      </c>
      <c r="Y734">
        <v>0.01667</v>
      </c>
    </row>
    <row r="735" spans="22:25" ht="15">
      <c r="V735" t="str">
        <f t="shared" si="11"/>
        <v>Revolutions/Minutes/Minutes  &lt;&lt;&lt;&gt;&gt;&gt; Revs/Minutes/Minutes </v>
      </c>
      <c r="W735" t="s">
        <v>590</v>
      </c>
      <c r="X735" t="s">
        <v>591</v>
      </c>
      <c r="Y735">
        <v>0.01667</v>
      </c>
    </row>
    <row r="736" spans="22:25" ht="15">
      <c r="V736" t="str">
        <f t="shared" si="11"/>
        <v>Revolutions/Minutes/Minutes  &lt;&lt;&lt;&gt;&gt;&gt; Revs/Seconds/Seconds </v>
      </c>
      <c r="W736" t="s">
        <v>590</v>
      </c>
      <c r="X736" t="s">
        <v>592</v>
      </c>
      <c r="Y736">
        <v>0.000278</v>
      </c>
    </row>
    <row r="737" spans="22:25" ht="15">
      <c r="V737" t="str">
        <f t="shared" si="11"/>
        <v>Revolutions/Seconds  &lt;&lt;&lt;&gt;&gt;&gt; Revs/Minutes </v>
      </c>
      <c r="W737" t="s">
        <v>336</v>
      </c>
      <c r="X737" t="s">
        <v>593</v>
      </c>
      <c r="Y737">
        <v>60</v>
      </c>
    </row>
    <row r="738" spans="22:25" ht="15">
      <c r="V738" t="str">
        <f t="shared" si="11"/>
        <v>Revolutions/Seconds/Seconds  &lt;&lt;&lt;&gt;&gt;&gt; radians/Seconds/Seconds </v>
      </c>
      <c r="W738" t="s">
        <v>594</v>
      </c>
      <c r="X738" t="s">
        <v>595</v>
      </c>
      <c r="Y738">
        <v>6.283</v>
      </c>
    </row>
    <row r="739" spans="22:25" ht="15">
      <c r="V739" t="str">
        <f t="shared" si="11"/>
        <v>Revolutions/Seconds/Seconds  &lt;&lt;&lt;&gt;&gt;&gt; Revs/Minutes/Minutes </v>
      </c>
      <c r="W739" t="s">
        <v>594</v>
      </c>
      <c r="X739" t="s">
        <v>591</v>
      </c>
      <c r="Y739">
        <v>3600</v>
      </c>
    </row>
    <row r="740" spans="22:25" ht="15">
      <c r="V740" t="str">
        <f t="shared" si="11"/>
        <v>Revolutions/Seconds/Seconds  &lt;&lt;&lt;&gt;&gt;&gt; Revs/Minutes/Seconds </v>
      </c>
      <c r="W740" t="s">
        <v>594</v>
      </c>
      <c r="X740" t="s">
        <v>596</v>
      </c>
      <c r="Y740">
        <v>60</v>
      </c>
    </row>
    <row r="741" spans="22:25" ht="15">
      <c r="V741" t="str">
        <f t="shared" si="11"/>
        <v>Rod  &lt;&lt;&lt;&gt;&gt;&gt; Chain (Gunter's) </v>
      </c>
      <c r="W741" t="s">
        <v>597</v>
      </c>
      <c r="X741" t="s">
        <v>598</v>
      </c>
      <c r="Y741">
        <v>0.25</v>
      </c>
    </row>
    <row r="742" spans="22:25" ht="15">
      <c r="V742" t="str">
        <f t="shared" si="11"/>
        <v>Rod  &lt;&lt;&lt;&gt;&gt;&gt; Meters </v>
      </c>
      <c r="W742" t="s">
        <v>597</v>
      </c>
      <c r="X742" t="s">
        <v>500</v>
      </c>
      <c r="Y742">
        <v>5.029</v>
      </c>
    </row>
    <row r="743" spans="22:25" ht="15">
      <c r="V743" t="str">
        <f t="shared" si="11"/>
        <v>Rods  &lt;&lt;&lt;&gt;&gt;&gt; Feet </v>
      </c>
      <c r="W743" t="s">
        <v>599</v>
      </c>
      <c r="X743" t="s">
        <v>497</v>
      </c>
      <c r="Y743">
        <v>16.5</v>
      </c>
    </row>
    <row r="744" spans="22:25" ht="15">
      <c r="V744" t="str">
        <f t="shared" si="11"/>
        <v>Rods (surveyor's meas.)  &lt;&lt;&lt;&gt;&gt;&gt; Yards </v>
      </c>
      <c r="W744" t="s">
        <v>600</v>
      </c>
      <c r="X744" t="s">
        <v>503</v>
      </c>
      <c r="Y744">
        <v>5.5</v>
      </c>
    </row>
    <row r="745" spans="22:25" ht="15">
      <c r="V745" t="str">
        <f t="shared" si="11"/>
        <v>Seconds &lt;&lt;&lt;&gt;&gt;&gt; Minutes</v>
      </c>
      <c r="W745" t="s">
        <v>112</v>
      </c>
      <c r="X745" t="s">
        <v>111</v>
      </c>
      <c r="Y745">
        <v>0.01666667</v>
      </c>
    </row>
    <row r="746" spans="22:25" ht="15">
      <c r="V746" t="str">
        <f t="shared" si="11"/>
        <v>Slug &lt;&lt;&lt;&gt;&gt;&gt; Kilograms</v>
      </c>
      <c r="W746" t="s">
        <v>467</v>
      </c>
      <c r="X746" t="s">
        <v>82</v>
      </c>
      <c r="Y746">
        <v>14.5939</v>
      </c>
    </row>
    <row r="747" spans="22:25" ht="15">
      <c r="V747" t="str">
        <f t="shared" si="11"/>
        <v>Slug  &lt;&lt;&lt;&gt;&gt;&gt; Kilogram </v>
      </c>
      <c r="W747" t="s">
        <v>601</v>
      </c>
      <c r="X747" t="s">
        <v>602</v>
      </c>
      <c r="Y747">
        <v>14.59</v>
      </c>
    </row>
    <row r="748" spans="22:25" ht="15">
      <c r="V748" t="str">
        <f t="shared" si="11"/>
        <v>Slug  &lt;&lt;&lt;&gt;&gt;&gt; Pounds </v>
      </c>
      <c r="W748" t="s">
        <v>601</v>
      </c>
      <c r="X748" t="s">
        <v>366</v>
      </c>
      <c r="Y748">
        <v>32.17</v>
      </c>
    </row>
    <row r="749" spans="22:25" ht="15">
      <c r="V749" t="str">
        <f t="shared" si="11"/>
        <v>Span  &lt;&lt;&lt;&gt;&gt;&gt; Inch </v>
      </c>
      <c r="W749" t="s">
        <v>603</v>
      </c>
      <c r="X749" t="s">
        <v>604</v>
      </c>
      <c r="Y749">
        <v>9</v>
      </c>
    </row>
    <row r="750" spans="22:25" ht="15">
      <c r="V750" t="str">
        <f t="shared" si="11"/>
        <v>Square centimeters  &lt;&lt;&lt;&gt;&gt;&gt; Circular Mils </v>
      </c>
      <c r="W750" t="s">
        <v>605</v>
      </c>
      <c r="X750" t="s">
        <v>286</v>
      </c>
      <c r="Y750">
        <v>197000</v>
      </c>
    </row>
    <row r="751" spans="22:25" ht="15">
      <c r="V751" t="str">
        <f t="shared" si="11"/>
        <v>Square centimeters  &lt;&lt;&lt;&gt;&gt;&gt; Square Feet </v>
      </c>
      <c r="W751" t="s">
        <v>605</v>
      </c>
      <c r="X751" t="s">
        <v>1096</v>
      </c>
      <c r="Y751">
        <v>0.001076391</v>
      </c>
    </row>
    <row r="752" spans="22:25" ht="15">
      <c r="V752" t="str">
        <f t="shared" si="11"/>
        <v>Square centimeters  &lt;&lt;&lt;&gt;&gt;&gt; Square Inches </v>
      </c>
      <c r="W752" t="s">
        <v>605</v>
      </c>
      <c r="X752" t="s">
        <v>288</v>
      </c>
      <c r="Y752">
        <v>0.1550003</v>
      </c>
    </row>
    <row r="753" spans="22:25" ht="15">
      <c r="V753" t="str">
        <f t="shared" si="11"/>
        <v>Square centimeters  &lt;&lt;&lt;&gt;&gt;&gt; Square Meters </v>
      </c>
      <c r="W753" t="s">
        <v>605</v>
      </c>
      <c r="X753" t="s">
        <v>1098</v>
      </c>
      <c r="Y753">
        <v>0.0001</v>
      </c>
    </row>
    <row r="754" spans="22:25" ht="15">
      <c r="V754" t="str">
        <f t="shared" si="11"/>
        <v>Square centimeters  &lt;&lt;&lt;&gt;&gt;&gt; Square Miles </v>
      </c>
      <c r="W754" t="s">
        <v>605</v>
      </c>
      <c r="X754" t="s">
        <v>1099</v>
      </c>
      <c r="Y754">
        <v>3.86E-11</v>
      </c>
    </row>
    <row r="755" spans="22:25" ht="15">
      <c r="V755" t="str">
        <f t="shared" si="11"/>
        <v>Square centimeters  &lt;&lt;&lt;&gt;&gt;&gt; Square Millimeters </v>
      </c>
      <c r="W755" t="s">
        <v>605</v>
      </c>
      <c r="X755" t="s">
        <v>606</v>
      </c>
      <c r="Y755">
        <v>100</v>
      </c>
    </row>
    <row r="756" spans="22:25" ht="15">
      <c r="V756" t="str">
        <f t="shared" si="11"/>
        <v>Square centimeters  &lt;&lt;&lt;&gt;&gt;&gt; Square Yards </v>
      </c>
      <c r="W756" t="s">
        <v>605</v>
      </c>
      <c r="X756" t="s">
        <v>1100</v>
      </c>
      <c r="Y756">
        <v>0.00012</v>
      </c>
    </row>
    <row r="757" spans="22:25" ht="15">
      <c r="V757" t="str">
        <f t="shared" si="11"/>
        <v>Square Feet  &lt;&lt;&lt;&gt;&gt;&gt; Acres </v>
      </c>
      <c r="W757" t="s">
        <v>1096</v>
      </c>
      <c r="X757" t="s">
        <v>1097</v>
      </c>
      <c r="Y757">
        <v>2.3E-05</v>
      </c>
    </row>
    <row r="758" spans="22:25" ht="15">
      <c r="V758" t="str">
        <f t="shared" si="11"/>
        <v>Square Feet  &lt;&lt;&lt;&gt;&gt;&gt; Circular Mils </v>
      </c>
      <c r="W758" t="s">
        <v>1096</v>
      </c>
      <c r="X758" t="s">
        <v>286</v>
      </c>
      <c r="Y758">
        <v>183000000</v>
      </c>
    </row>
    <row r="759" spans="22:25" ht="15">
      <c r="V759" t="str">
        <f t="shared" si="11"/>
        <v>Square Feet  &lt;&lt;&lt;&gt;&gt;&gt; Square Centimeters </v>
      </c>
      <c r="W759" t="s">
        <v>1096</v>
      </c>
      <c r="X759" t="s">
        <v>287</v>
      </c>
      <c r="Y759">
        <v>929.0304</v>
      </c>
    </row>
    <row r="760" spans="22:25" ht="15">
      <c r="V760" t="str">
        <f t="shared" si="11"/>
        <v>Square Feet  &lt;&lt;&lt;&gt;&gt;&gt; Square Inches </v>
      </c>
      <c r="W760" t="s">
        <v>1096</v>
      </c>
      <c r="X760" t="s">
        <v>288</v>
      </c>
      <c r="Y760">
        <v>144</v>
      </c>
    </row>
    <row r="761" spans="22:25" ht="15">
      <c r="V761" t="str">
        <f t="shared" si="11"/>
        <v>Square Feet  &lt;&lt;&lt;&gt;&gt;&gt; Square Meters </v>
      </c>
      <c r="W761" t="s">
        <v>1096</v>
      </c>
      <c r="X761" t="s">
        <v>1098</v>
      </c>
      <c r="Y761">
        <v>0.09290304</v>
      </c>
    </row>
    <row r="762" spans="22:25" ht="15">
      <c r="V762" t="str">
        <f t="shared" si="11"/>
        <v>Square Feet  &lt;&lt;&lt;&gt;&gt;&gt; Square Miles </v>
      </c>
      <c r="W762" t="s">
        <v>1096</v>
      </c>
      <c r="X762" t="s">
        <v>1099</v>
      </c>
      <c r="Y762">
        <v>3.59E-08</v>
      </c>
    </row>
    <row r="763" spans="22:25" ht="15">
      <c r="V763" t="str">
        <f t="shared" si="11"/>
        <v>Square Feet  &lt;&lt;&lt;&gt;&gt;&gt; Square Millimeters </v>
      </c>
      <c r="W763" t="s">
        <v>1096</v>
      </c>
      <c r="X763" t="s">
        <v>606</v>
      </c>
      <c r="Y763">
        <v>92903.04</v>
      </c>
    </row>
    <row r="764" spans="22:25" ht="15">
      <c r="V764" t="str">
        <f t="shared" si="11"/>
        <v>Square Feet  &lt;&lt;&lt;&gt;&gt;&gt; Square Yards </v>
      </c>
      <c r="W764" t="s">
        <v>1096</v>
      </c>
      <c r="X764" t="s">
        <v>1100</v>
      </c>
      <c r="Y764">
        <v>0.1111</v>
      </c>
    </row>
    <row r="765" spans="22:25" ht="15">
      <c r="V765" t="str">
        <f t="shared" si="11"/>
        <v>Square Inches  &lt;&lt;&lt;&gt;&gt;&gt; Circular Mils </v>
      </c>
      <c r="W765" t="s">
        <v>288</v>
      </c>
      <c r="X765" t="s">
        <v>286</v>
      </c>
      <c r="Y765">
        <v>1270000</v>
      </c>
    </row>
    <row r="766" spans="22:25" ht="15">
      <c r="V766" t="str">
        <f t="shared" si="11"/>
        <v>Square Inches  &lt;&lt;&lt;&gt;&gt;&gt; Square Centimeters </v>
      </c>
      <c r="W766" t="s">
        <v>288</v>
      </c>
      <c r="X766" t="s">
        <v>287</v>
      </c>
      <c r="Y766">
        <v>6.4516</v>
      </c>
    </row>
    <row r="767" spans="22:25" ht="15">
      <c r="V767" t="str">
        <f t="shared" si="11"/>
        <v>Square Inches  &lt;&lt;&lt;&gt;&gt;&gt; Square Feet </v>
      </c>
      <c r="W767" t="s">
        <v>288</v>
      </c>
      <c r="X767" t="s">
        <v>1096</v>
      </c>
      <c r="Y767">
        <v>0.00694</v>
      </c>
    </row>
    <row r="768" spans="22:25" ht="15">
      <c r="V768" t="str">
        <f t="shared" si="11"/>
        <v>Square Inches  &lt;&lt;&lt;&gt;&gt;&gt; Square Meters </v>
      </c>
      <c r="W768" t="s">
        <v>288</v>
      </c>
      <c r="X768" t="s">
        <v>1098</v>
      </c>
      <c r="Y768">
        <v>0.00064516</v>
      </c>
    </row>
    <row r="769" spans="22:25" ht="15">
      <c r="V769" t="str">
        <f t="shared" si="11"/>
        <v>Square Inches  &lt;&lt;&lt;&gt;&gt;&gt; Square Millimeters </v>
      </c>
      <c r="W769" t="s">
        <v>288</v>
      </c>
      <c r="X769" t="s">
        <v>606</v>
      </c>
      <c r="Y769">
        <v>645.16</v>
      </c>
    </row>
    <row r="770" spans="22:25" ht="15">
      <c r="V770" t="str">
        <f t="shared" si="11"/>
        <v>Square Inches  &lt;&lt;&lt;&gt;&gt;&gt; Square Mils </v>
      </c>
      <c r="W770" t="s">
        <v>288</v>
      </c>
      <c r="X770" t="s">
        <v>289</v>
      </c>
      <c r="Y770">
        <v>1000000</v>
      </c>
    </row>
    <row r="771" spans="22:25" ht="15">
      <c r="V771" t="str">
        <f aca="true" t="shared" si="12" ref="V771:V834">IF(W771="","",W771&amp;" &lt;&lt;&lt;&gt;&gt;&gt; "&amp;X771)</f>
        <v>Square Inches  &lt;&lt;&lt;&gt;&gt;&gt; Square Yards </v>
      </c>
      <c r="W771" t="s">
        <v>288</v>
      </c>
      <c r="X771" t="s">
        <v>1100</v>
      </c>
      <c r="Y771">
        <v>0.000772</v>
      </c>
    </row>
    <row r="772" spans="22:25" ht="15">
      <c r="V772" t="str">
        <f t="shared" si="12"/>
        <v>Square Kilometers  &lt;&lt;&lt;&gt;&gt;&gt; Acres </v>
      </c>
      <c r="W772" t="s">
        <v>607</v>
      </c>
      <c r="X772" t="s">
        <v>1097</v>
      </c>
      <c r="Y772">
        <v>247.1</v>
      </c>
    </row>
    <row r="773" spans="22:25" ht="15">
      <c r="V773" t="str">
        <f t="shared" si="12"/>
        <v>Square Kilometers  &lt;&lt;&lt;&gt;&gt;&gt; Square Centimeters </v>
      </c>
      <c r="W773" t="s">
        <v>607</v>
      </c>
      <c r="X773" t="s">
        <v>287</v>
      </c>
      <c r="Y773">
        <v>10000000000</v>
      </c>
    </row>
    <row r="774" spans="22:25" ht="15">
      <c r="V774" t="str">
        <f t="shared" si="12"/>
        <v>Square Kilometers  &lt;&lt;&lt;&gt;&gt;&gt; Square Feet </v>
      </c>
      <c r="W774" t="s">
        <v>607</v>
      </c>
      <c r="X774" t="s">
        <v>1096</v>
      </c>
      <c r="Y774">
        <v>10800000</v>
      </c>
    </row>
    <row r="775" spans="22:25" ht="15">
      <c r="V775" t="str">
        <f t="shared" si="12"/>
        <v>Square Kilometers  &lt;&lt;&lt;&gt;&gt;&gt; Square Inches </v>
      </c>
      <c r="W775" t="s">
        <v>607</v>
      </c>
      <c r="X775" t="s">
        <v>288</v>
      </c>
      <c r="Y775">
        <v>1550000000</v>
      </c>
    </row>
    <row r="776" spans="22:25" ht="15">
      <c r="V776" t="str">
        <f t="shared" si="12"/>
        <v>Square Kilometers  &lt;&lt;&lt;&gt;&gt;&gt; Square Meters </v>
      </c>
      <c r="W776" t="s">
        <v>607</v>
      </c>
      <c r="X776" t="s">
        <v>1098</v>
      </c>
      <c r="Y776">
        <v>1000000</v>
      </c>
    </row>
    <row r="777" spans="22:25" ht="15">
      <c r="V777" t="str">
        <f t="shared" si="12"/>
        <v>Square Kilometers  &lt;&lt;&lt;&gt;&gt;&gt; Square Miles </v>
      </c>
      <c r="W777" t="s">
        <v>607</v>
      </c>
      <c r="X777" t="s">
        <v>1099</v>
      </c>
      <c r="Y777">
        <v>0.3861</v>
      </c>
    </row>
    <row r="778" spans="22:25" ht="15">
      <c r="V778" t="str">
        <f t="shared" si="12"/>
        <v>Square Kilometers  &lt;&lt;&lt;&gt;&gt;&gt; Square Yards </v>
      </c>
      <c r="W778" t="s">
        <v>607</v>
      </c>
      <c r="X778" t="s">
        <v>1100</v>
      </c>
      <c r="Y778">
        <v>1200000</v>
      </c>
    </row>
    <row r="779" spans="22:25" ht="15">
      <c r="V779" t="str">
        <f t="shared" si="12"/>
        <v>Square Meters  &lt;&lt;&lt;&gt;&gt;&gt; Acres </v>
      </c>
      <c r="W779" t="s">
        <v>1098</v>
      </c>
      <c r="X779" t="s">
        <v>1097</v>
      </c>
      <c r="Y779">
        <v>0.0002471054</v>
      </c>
    </row>
    <row r="780" spans="22:25" ht="15">
      <c r="V780" t="str">
        <f t="shared" si="12"/>
        <v>Square Meters  &lt;&lt;&lt;&gt;&gt;&gt; Square Centimeters </v>
      </c>
      <c r="W780" t="s">
        <v>1098</v>
      </c>
      <c r="X780" t="s">
        <v>287</v>
      </c>
      <c r="Y780">
        <v>10000</v>
      </c>
    </row>
    <row r="781" spans="22:25" ht="15">
      <c r="V781" t="str">
        <f t="shared" si="12"/>
        <v>Square Meters  &lt;&lt;&lt;&gt;&gt;&gt; Square Feet </v>
      </c>
      <c r="W781" t="s">
        <v>1098</v>
      </c>
      <c r="X781" t="s">
        <v>1096</v>
      </c>
      <c r="Y781">
        <v>10.76391</v>
      </c>
    </row>
    <row r="782" spans="22:25" ht="15">
      <c r="V782" t="str">
        <f t="shared" si="12"/>
        <v>Square Meters  &lt;&lt;&lt;&gt;&gt;&gt; Square Inches </v>
      </c>
      <c r="W782" t="s">
        <v>1098</v>
      </c>
      <c r="X782" t="s">
        <v>288</v>
      </c>
      <c r="Y782">
        <v>1550.003</v>
      </c>
    </row>
    <row r="783" spans="22:25" ht="15">
      <c r="V783" t="str">
        <f t="shared" si="12"/>
        <v>Square Meters  &lt;&lt;&lt;&gt;&gt;&gt; Square Miles </v>
      </c>
      <c r="W783" t="s">
        <v>1098</v>
      </c>
      <c r="X783" t="s">
        <v>1099</v>
      </c>
      <c r="Y783">
        <v>3.86E-07</v>
      </c>
    </row>
    <row r="784" spans="22:25" ht="15">
      <c r="V784" t="str">
        <f t="shared" si="12"/>
        <v>Square Meters  &lt;&lt;&lt;&gt;&gt;&gt; Square Millimeters </v>
      </c>
      <c r="W784" t="s">
        <v>1098</v>
      </c>
      <c r="X784" t="s">
        <v>606</v>
      </c>
      <c r="Y784">
        <v>1000000</v>
      </c>
    </row>
    <row r="785" spans="22:25" ht="15">
      <c r="V785" t="str">
        <f t="shared" si="12"/>
        <v>Square Meters  &lt;&lt;&lt;&gt;&gt;&gt; Square Yards </v>
      </c>
      <c r="W785" t="s">
        <v>1098</v>
      </c>
      <c r="X785" t="s">
        <v>1100</v>
      </c>
      <c r="Y785">
        <v>1.19599</v>
      </c>
    </row>
    <row r="786" spans="22:25" ht="15">
      <c r="V786" t="str">
        <f t="shared" si="12"/>
        <v>Square Miles  &lt;&lt;&lt;&gt;&gt;&gt; Acres </v>
      </c>
      <c r="W786" t="s">
        <v>1099</v>
      </c>
      <c r="X786" t="s">
        <v>1097</v>
      </c>
      <c r="Y786">
        <v>640</v>
      </c>
    </row>
    <row r="787" spans="22:25" ht="15">
      <c r="V787" t="str">
        <f t="shared" si="12"/>
        <v>Square Miles  &lt;&lt;&lt;&gt;&gt;&gt; Square Feet </v>
      </c>
      <c r="W787" t="s">
        <v>1099</v>
      </c>
      <c r="X787" t="s">
        <v>1096</v>
      </c>
      <c r="Y787">
        <v>27900000</v>
      </c>
    </row>
    <row r="788" spans="22:25" ht="15">
      <c r="V788" t="str">
        <f t="shared" si="12"/>
        <v>Square Miles  &lt;&lt;&lt;&gt;&gt;&gt; Square kms </v>
      </c>
      <c r="W788" t="s">
        <v>1099</v>
      </c>
      <c r="X788" t="s">
        <v>608</v>
      </c>
      <c r="Y788">
        <v>2.59</v>
      </c>
    </row>
    <row r="789" spans="22:25" ht="15">
      <c r="V789" t="str">
        <f t="shared" si="12"/>
        <v>Square Miles  &lt;&lt;&lt;&gt;&gt;&gt; Square Meters </v>
      </c>
      <c r="W789" t="s">
        <v>1099</v>
      </c>
      <c r="X789" t="s">
        <v>1098</v>
      </c>
      <c r="Y789">
        <v>2590000</v>
      </c>
    </row>
    <row r="790" spans="22:25" ht="15">
      <c r="V790" t="str">
        <f t="shared" si="12"/>
        <v>Square Miles  &lt;&lt;&lt;&gt;&gt;&gt; Square Yards </v>
      </c>
      <c r="W790" t="s">
        <v>1099</v>
      </c>
      <c r="X790" t="s">
        <v>1100</v>
      </c>
      <c r="Y790">
        <v>3100000</v>
      </c>
    </row>
    <row r="791" spans="22:25" ht="15">
      <c r="V791" t="str">
        <f t="shared" si="12"/>
        <v>Square Millimeters  &lt;&lt;&lt;&gt;&gt;&gt; Circular Mils </v>
      </c>
      <c r="W791" t="s">
        <v>606</v>
      </c>
      <c r="X791" t="s">
        <v>286</v>
      </c>
      <c r="Y791">
        <v>1973</v>
      </c>
    </row>
    <row r="792" spans="22:25" ht="15">
      <c r="V792" t="str">
        <f t="shared" si="12"/>
        <v>Square Millimeters  &lt;&lt;&lt;&gt;&gt;&gt; Square Centimeters </v>
      </c>
      <c r="W792" t="s">
        <v>606</v>
      </c>
      <c r="X792" t="s">
        <v>287</v>
      </c>
      <c r="Y792">
        <v>0.01</v>
      </c>
    </row>
    <row r="793" spans="22:25" ht="15">
      <c r="V793" t="str">
        <f t="shared" si="12"/>
        <v>Square Millimeters  &lt;&lt;&lt;&gt;&gt;&gt; Square Feet </v>
      </c>
      <c r="W793" t="s">
        <v>606</v>
      </c>
      <c r="X793" t="s">
        <v>1096</v>
      </c>
      <c r="Y793">
        <v>1.076391E-05</v>
      </c>
    </row>
    <row r="794" spans="22:25" ht="15">
      <c r="V794" t="str">
        <f t="shared" si="12"/>
        <v>Square Millimeters  &lt;&lt;&lt;&gt;&gt;&gt; Square Inches </v>
      </c>
      <c r="W794" t="s">
        <v>606</v>
      </c>
      <c r="X794" t="s">
        <v>288</v>
      </c>
      <c r="Y794">
        <v>0.001550003</v>
      </c>
    </row>
    <row r="795" spans="22:25" ht="15">
      <c r="V795" t="str">
        <f t="shared" si="12"/>
        <v>Square Mils  &lt;&lt;&lt;&gt;&gt;&gt; Circular Mils </v>
      </c>
      <c r="W795" t="s">
        <v>289</v>
      </c>
      <c r="X795" t="s">
        <v>286</v>
      </c>
      <c r="Y795">
        <v>1.273</v>
      </c>
    </row>
    <row r="796" spans="22:25" ht="15">
      <c r="V796" t="str">
        <f t="shared" si="12"/>
        <v>Square Mils  &lt;&lt;&lt;&gt;&gt;&gt; Square Centimeters </v>
      </c>
      <c r="W796" t="s">
        <v>289</v>
      </c>
      <c r="X796" t="s">
        <v>287</v>
      </c>
      <c r="Y796">
        <v>6.45E-06</v>
      </c>
    </row>
    <row r="797" spans="22:25" ht="15">
      <c r="V797" t="str">
        <f t="shared" si="12"/>
        <v>Square Mils  &lt;&lt;&lt;&gt;&gt;&gt; Square Inches </v>
      </c>
      <c r="W797" t="s">
        <v>289</v>
      </c>
      <c r="X797" t="s">
        <v>288</v>
      </c>
      <c r="Y797">
        <v>1E-06</v>
      </c>
    </row>
    <row r="798" spans="22:25" ht="15">
      <c r="V798" t="str">
        <f t="shared" si="12"/>
        <v>Square Yards  &lt;&lt;&lt;&gt;&gt;&gt; Acres </v>
      </c>
      <c r="W798" t="s">
        <v>1100</v>
      </c>
      <c r="X798" t="s">
        <v>1097</v>
      </c>
      <c r="Y798">
        <v>0.000207</v>
      </c>
    </row>
    <row r="799" spans="22:25" ht="15">
      <c r="V799" t="str">
        <f t="shared" si="12"/>
        <v>Square Yards  &lt;&lt;&lt;&gt;&gt;&gt; Square Centimeters </v>
      </c>
      <c r="W799" t="s">
        <v>1100</v>
      </c>
      <c r="X799" t="s">
        <v>287</v>
      </c>
      <c r="Y799">
        <v>8361</v>
      </c>
    </row>
    <row r="800" spans="22:25" ht="15">
      <c r="V800" t="str">
        <f t="shared" si="12"/>
        <v>Square Yards  &lt;&lt;&lt;&gt;&gt;&gt; Square Feet </v>
      </c>
      <c r="W800" t="s">
        <v>1100</v>
      </c>
      <c r="X800" t="s">
        <v>1096</v>
      </c>
      <c r="Y800">
        <v>9</v>
      </c>
    </row>
    <row r="801" spans="22:25" ht="15">
      <c r="V801" t="str">
        <f t="shared" si="12"/>
        <v>Square Yards  &lt;&lt;&lt;&gt;&gt;&gt; Square Inches </v>
      </c>
      <c r="W801" t="s">
        <v>1100</v>
      </c>
      <c r="X801" t="s">
        <v>288</v>
      </c>
      <c r="Y801">
        <v>1296</v>
      </c>
    </row>
    <row r="802" spans="22:25" ht="15">
      <c r="V802" t="str">
        <f t="shared" si="12"/>
        <v>Square Yards  &lt;&lt;&lt;&gt;&gt;&gt; Square Meters </v>
      </c>
      <c r="W802" t="s">
        <v>1100</v>
      </c>
      <c r="X802" t="s">
        <v>1098</v>
      </c>
      <c r="Y802">
        <v>0.8361274</v>
      </c>
    </row>
    <row r="803" spans="22:25" ht="15">
      <c r="V803" t="str">
        <f t="shared" si="12"/>
        <v>Square Yards  &lt;&lt;&lt;&gt;&gt;&gt; Square Miles </v>
      </c>
      <c r="W803" t="s">
        <v>1100</v>
      </c>
      <c r="X803" t="s">
        <v>1099</v>
      </c>
      <c r="Y803">
        <v>3.23E-07</v>
      </c>
    </row>
    <row r="804" spans="22:25" ht="15">
      <c r="V804" t="str">
        <f t="shared" si="12"/>
        <v>Square Yards  &lt;&lt;&lt;&gt;&gt;&gt; Square Millimeters </v>
      </c>
      <c r="W804" t="s">
        <v>1100</v>
      </c>
      <c r="X804" t="s">
        <v>606</v>
      </c>
      <c r="Y804">
        <v>836000</v>
      </c>
    </row>
    <row r="805" spans="22:25" ht="15">
      <c r="V805" t="str">
        <f t="shared" si="12"/>
        <v>Stone (British)  &lt;&lt;&lt;&gt;&gt;&gt; Pound (avoirdupois) </v>
      </c>
      <c r="W805" t="s">
        <v>609</v>
      </c>
      <c r="X805" t="s">
        <v>610</v>
      </c>
      <c r="Y805">
        <v>14</v>
      </c>
    </row>
    <row r="806" spans="22:25" ht="15">
      <c r="V806" t="str">
        <f t="shared" si="12"/>
        <v>Tablespoons (metric)  &lt;&lt;&lt;&gt;&gt;&gt; Milliliter </v>
      </c>
      <c r="W806" t="s">
        <v>611</v>
      </c>
      <c r="X806" t="s">
        <v>612</v>
      </c>
      <c r="Y806">
        <v>15</v>
      </c>
    </row>
    <row r="807" spans="22:25" ht="15">
      <c r="V807" t="str">
        <f t="shared" si="12"/>
        <v>Tablespoons (US)  &lt;&lt;&lt;&gt;&gt;&gt; Cups</v>
      </c>
      <c r="W807" t="s">
        <v>613</v>
      </c>
      <c r="X807" t="s">
        <v>647</v>
      </c>
      <c r="Y807">
        <v>0.0625</v>
      </c>
    </row>
    <row r="808" spans="22:25" ht="15">
      <c r="V808" t="str">
        <f t="shared" si="12"/>
        <v>Tablespoons (US)  &lt;&lt;&lt;&gt;&gt;&gt; Drops</v>
      </c>
      <c r="W808" t="s">
        <v>613</v>
      </c>
      <c r="X808" t="s">
        <v>648</v>
      </c>
      <c r="Y808">
        <v>180</v>
      </c>
    </row>
    <row r="809" spans="22:25" ht="15">
      <c r="V809" t="str">
        <f t="shared" si="12"/>
        <v>Tablespoons (US)  &lt;&lt;&lt;&gt;&gt;&gt; Gills</v>
      </c>
      <c r="W809" t="s">
        <v>613</v>
      </c>
      <c r="X809" t="s">
        <v>649</v>
      </c>
      <c r="Y809">
        <v>0.125</v>
      </c>
    </row>
    <row r="810" spans="22:25" ht="15">
      <c r="V810" t="str">
        <f t="shared" si="12"/>
        <v>Tablespoons (US)  &lt;&lt;&lt;&gt;&gt;&gt; Milliliter </v>
      </c>
      <c r="W810" t="s">
        <v>613</v>
      </c>
      <c r="X810" t="s">
        <v>612</v>
      </c>
      <c r="Y810">
        <v>14.79</v>
      </c>
    </row>
    <row r="811" spans="22:25" ht="15">
      <c r="V811" t="str">
        <f t="shared" si="12"/>
        <v>Tablespoons (US)  &lt;&lt;&lt;&gt;&gt;&gt; Ounces (U.S. fluid)</v>
      </c>
      <c r="W811" t="s">
        <v>613</v>
      </c>
      <c r="X811" t="s">
        <v>650</v>
      </c>
      <c r="Y811">
        <v>0.5</v>
      </c>
    </row>
    <row r="812" spans="22:25" ht="15">
      <c r="V812" t="str">
        <f t="shared" si="12"/>
        <v>Tablespoons (US)  &lt;&lt;&lt;&gt;&gt;&gt; Quarts</v>
      </c>
      <c r="W812" t="s">
        <v>613</v>
      </c>
      <c r="X812" t="s">
        <v>84</v>
      </c>
      <c r="Y812">
        <v>0.015625</v>
      </c>
    </row>
    <row r="813" spans="22:25" ht="15">
      <c r="V813" t="str">
        <f t="shared" si="12"/>
        <v>Tablespoons (US)  &lt;&lt;&lt;&gt;&gt;&gt; Teaspoons (US)</v>
      </c>
      <c r="W813" t="s">
        <v>613</v>
      </c>
      <c r="X813" t="s">
        <v>651</v>
      </c>
      <c r="Y813">
        <v>3</v>
      </c>
    </row>
    <row r="814" spans="22:25" ht="15">
      <c r="V814" t="str">
        <f t="shared" si="12"/>
        <v>Teaspoons (metric)  &lt;&lt;&lt;&gt;&gt;&gt; Milliliter </v>
      </c>
      <c r="W814" t="s">
        <v>614</v>
      </c>
      <c r="X814" t="s">
        <v>612</v>
      </c>
      <c r="Y814">
        <v>5</v>
      </c>
    </row>
    <row r="815" spans="22:25" ht="15">
      <c r="V815" t="str">
        <f t="shared" si="12"/>
        <v>Teaspoons (US)  &lt;&lt;&lt;&gt;&gt;&gt; Cubic Centimeters </v>
      </c>
      <c r="W815" t="s">
        <v>615</v>
      </c>
      <c r="X815" t="s">
        <v>305</v>
      </c>
      <c r="Y815">
        <v>4.93</v>
      </c>
    </row>
    <row r="816" spans="22:25" ht="15">
      <c r="V816" t="str">
        <f t="shared" si="12"/>
        <v>Teaspoons (US)  &lt;&lt;&lt;&gt;&gt;&gt; Cups</v>
      </c>
      <c r="W816" t="s">
        <v>615</v>
      </c>
      <c r="X816" t="s">
        <v>647</v>
      </c>
      <c r="Y816">
        <v>0.0208333</v>
      </c>
    </row>
    <row r="817" spans="22:25" ht="15">
      <c r="V817" t="str">
        <f t="shared" si="12"/>
        <v>Teaspoons (US)  &lt;&lt;&lt;&gt;&gt;&gt; Drops</v>
      </c>
      <c r="W817" t="s">
        <v>615</v>
      </c>
      <c r="X817" t="s">
        <v>648</v>
      </c>
      <c r="Y817">
        <v>0.04167</v>
      </c>
    </row>
    <row r="818" spans="22:25" ht="15">
      <c r="V818" t="str">
        <f t="shared" si="12"/>
        <v>Teaspoons (US)  &lt;&lt;&lt;&gt;&gt;&gt; Ounces (U.S. fluid)</v>
      </c>
      <c r="W818" t="s">
        <v>615</v>
      </c>
      <c r="X818" t="s">
        <v>650</v>
      </c>
      <c r="Y818">
        <v>0.16667</v>
      </c>
    </row>
    <row r="819" spans="22:25" ht="15">
      <c r="V819" t="str">
        <f t="shared" si="12"/>
        <v>Teaspoons (US)  &lt;&lt;&lt;&gt;&gt;&gt; Pints</v>
      </c>
      <c r="W819" t="s">
        <v>615</v>
      </c>
      <c r="X819" t="s">
        <v>652</v>
      </c>
      <c r="Y819">
        <v>0.01042</v>
      </c>
    </row>
    <row r="820" spans="22:25" ht="15">
      <c r="V820" t="str">
        <f t="shared" si="12"/>
        <v>Teaspoons (US)  &lt;&lt;&lt;&gt;&gt;&gt; Quarts</v>
      </c>
      <c r="W820" t="s">
        <v>615</v>
      </c>
      <c r="X820" t="s">
        <v>84</v>
      </c>
      <c r="Y820">
        <v>0.00521</v>
      </c>
    </row>
    <row r="821" spans="22:25" ht="15">
      <c r="V821" t="str">
        <f t="shared" si="12"/>
        <v>Teaspoons (US)  &lt;&lt;&lt;&gt;&gt;&gt; Tablespoons (US) </v>
      </c>
      <c r="W821" t="s">
        <v>615</v>
      </c>
      <c r="X821" t="s">
        <v>613</v>
      </c>
      <c r="Y821">
        <v>0.3333</v>
      </c>
    </row>
    <row r="822" spans="22:25" ht="15">
      <c r="V822" t="str">
        <f t="shared" si="12"/>
        <v>Tonne &lt;&lt;&lt;&gt;&gt;&gt; Kilograms (kg)</v>
      </c>
      <c r="W822" t="s">
        <v>468</v>
      </c>
      <c r="X822" t="s">
        <v>414</v>
      </c>
      <c r="Y822">
        <v>1000</v>
      </c>
    </row>
    <row r="823" spans="22:25" ht="15">
      <c r="V823" t="str">
        <f t="shared" si="12"/>
        <v>Tons (long 2000 lb) &lt;&lt;&lt;&gt;&gt;&gt; Kilograms (kg)</v>
      </c>
      <c r="W823" t="s">
        <v>616</v>
      </c>
      <c r="X823" t="s">
        <v>414</v>
      </c>
      <c r="Y823">
        <v>907.1847</v>
      </c>
    </row>
    <row r="824" spans="22:25" ht="15">
      <c r="V824" t="str">
        <f t="shared" si="12"/>
        <v>Tons (long 2240 lb) &lt;&lt;&lt;&gt;&gt;&gt; Kilogram (kg)</v>
      </c>
      <c r="W824" t="s">
        <v>617</v>
      </c>
      <c r="X824" t="s">
        <v>448</v>
      </c>
      <c r="Y824">
        <v>1016.047</v>
      </c>
    </row>
    <row r="825" spans="22:25" ht="15">
      <c r="V825" t="str">
        <f t="shared" si="12"/>
        <v>Tons (long)  &lt;&lt;&lt;&gt;&gt;&gt; Kilograms </v>
      </c>
      <c r="W825" t="s">
        <v>450</v>
      </c>
      <c r="X825" t="s">
        <v>364</v>
      </c>
      <c r="Y825">
        <v>1016</v>
      </c>
    </row>
    <row r="826" spans="22:25" ht="15">
      <c r="V826" t="str">
        <f t="shared" si="12"/>
        <v>Tons (long)  &lt;&lt;&lt;&gt;&gt;&gt; Pounds </v>
      </c>
      <c r="W826" t="s">
        <v>450</v>
      </c>
      <c r="X826" t="s">
        <v>366</v>
      </c>
      <c r="Y826">
        <v>2240</v>
      </c>
    </row>
    <row r="827" spans="22:25" ht="15">
      <c r="V827" t="str">
        <f t="shared" si="12"/>
        <v>Tons (long)  &lt;&lt;&lt;&gt;&gt;&gt; Tons (short) </v>
      </c>
      <c r="W827" t="s">
        <v>450</v>
      </c>
      <c r="X827" t="s">
        <v>474</v>
      </c>
      <c r="Y827">
        <v>1.12</v>
      </c>
    </row>
    <row r="828" spans="22:25" ht="15">
      <c r="V828" t="str">
        <f t="shared" si="12"/>
        <v>Tons (metric) &lt;&lt;&lt;&gt;&gt;&gt; Kilograms (kg)</v>
      </c>
      <c r="W828" t="s">
        <v>470</v>
      </c>
      <c r="X828" t="s">
        <v>414</v>
      </c>
      <c r="Y828">
        <v>1000</v>
      </c>
    </row>
    <row r="829" spans="22:25" ht="15">
      <c r="V829" t="str">
        <f t="shared" si="12"/>
        <v>Tons (metric)  &lt;&lt;&lt;&gt;&gt;&gt; Kilograms </v>
      </c>
      <c r="W829" t="s">
        <v>452</v>
      </c>
      <c r="X829" t="s">
        <v>364</v>
      </c>
      <c r="Y829">
        <v>1000</v>
      </c>
    </row>
    <row r="830" spans="22:25" ht="15">
      <c r="V830" t="str">
        <f t="shared" si="12"/>
        <v>Tons (metric)  &lt;&lt;&lt;&gt;&gt;&gt; Pounds </v>
      </c>
      <c r="W830" t="s">
        <v>452</v>
      </c>
      <c r="X830" t="s">
        <v>366</v>
      </c>
      <c r="Y830">
        <v>2205</v>
      </c>
    </row>
    <row r="831" spans="22:25" ht="15">
      <c r="V831" t="str">
        <f t="shared" si="12"/>
        <v>Tons (short)  &lt;&lt;&lt;&gt;&gt;&gt; Ounces </v>
      </c>
      <c r="W831" t="s">
        <v>474</v>
      </c>
      <c r="X831" t="s">
        <v>342</v>
      </c>
      <c r="Y831">
        <v>32000</v>
      </c>
    </row>
    <row r="832" spans="22:25" ht="15">
      <c r="V832" t="str">
        <f t="shared" si="12"/>
        <v>Tons (short)  &lt;&lt;&lt;&gt;&gt;&gt; Ounces (troy) </v>
      </c>
      <c r="W832" t="s">
        <v>474</v>
      </c>
      <c r="X832" t="s">
        <v>344</v>
      </c>
      <c r="Y832">
        <v>29166.66</v>
      </c>
    </row>
    <row r="833" spans="22:25" ht="15">
      <c r="V833" t="str">
        <f t="shared" si="12"/>
        <v>Tons (short)  &lt;&lt;&lt;&gt;&gt;&gt; Pounds </v>
      </c>
      <c r="W833" t="s">
        <v>474</v>
      </c>
      <c r="X833" t="s">
        <v>366</v>
      </c>
      <c r="Y833">
        <v>2000</v>
      </c>
    </row>
    <row r="834" spans="22:25" ht="15">
      <c r="V834" t="str">
        <f t="shared" si="12"/>
        <v>Tons (short)  &lt;&lt;&lt;&gt;&gt;&gt; Pounds (troy) </v>
      </c>
      <c r="W834" t="s">
        <v>474</v>
      </c>
      <c r="X834" t="s">
        <v>566</v>
      </c>
      <c r="Y834">
        <v>2430.56</v>
      </c>
    </row>
    <row r="835" spans="22:25" ht="15">
      <c r="V835" t="str">
        <f aca="true" t="shared" si="13" ref="V835:V898">IF(W835="","",W835&amp;" &lt;&lt;&lt;&gt;&gt;&gt; "&amp;X835)</f>
        <v>Tons (short)  &lt;&lt;&lt;&gt;&gt;&gt; Tons (long) </v>
      </c>
      <c r="W835" t="s">
        <v>474</v>
      </c>
      <c r="X835" t="s">
        <v>450</v>
      </c>
      <c r="Y835">
        <v>0.89287</v>
      </c>
    </row>
    <row r="836" spans="22:25" ht="15">
      <c r="V836" t="str">
        <f t="shared" si="13"/>
        <v>Tons (short)  &lt;&lt;&lt;&gt;&gt;&gt; Tons (metric) </v>
      </c>
      <c r="W836" t="s">
        <v>474</v>
      </c>
      <c r="X836" t="s">
        <v>452</v>
      </c>
      <c r="Y836">
        <v>0.9078</v>
      </c>
    </row>
    <row r="837" spans="22:25" ht="15">
      <c r="V837" t="str">
        <f t="shared" si="13"/>
        <v>Tons (short)/sq Foot  &lt;&lt;&lt;&gt;&gt;&gt; Kgs/sq meter </v>
      </c>
      <c r="W837" t="s">
        <v>618</v>
      </c>
      <c r="X837" t="s">
        <v>491</v>
      </c>
      <c r="Y837">
        <v>9765</v>
      </c>
    </row>
    <row r="838" spans="22:25" ht="15">
      <c r="V838" t="str">
        <f t="shared" si="13"/>
        <v>Tons (short)/sq Foot  &lt;&lt;&lt;&gt;&gt;&gt; Pounds/sq Inch </v>
      </c>
      <c r="W838" t="s">
        <v>618</v>
      </c>
      <c r="X838" t="s">
        <v>485</v>
      </c>
      <c r="Y838">
        <v>2000</v>
      </c>
    </row>
    <row r="839" spans="22:25" ht="15">
      <c r="V839" t="str">
        <f t="shared" si="13"/>
        <v>Tons of water/24 Hours  &lt;&lt;&lt;&gt;&gt;&gt; Cubic Feet/Hour </v>
      </c>
      <c r="W839" t="s">
        <v>619</v>
      </c>
      <c r="X839" t="s">
        <v>399</v>
      </c>
      <c r="Y839">
        <v>1.3349</v>
      </c>
    </row>
    <row r="840" spans="22:25" ht="15">
      <c r="V840" t="str">
        <f t="shared" si="13"/>
        <v>Tons of water/24 Hours  &lt;&lt;&lt;&gt;&gt;&gt; Gallons/Minute </v>
      </c>
      <c r="W840" t="s">
        <v>619</v>
      </c>
      <c r="X840" t="s">
        <v>319</v>
      </c>
      <c r="Y840">
        <v>0.16643</v>
      </c>
    </row>
    <row r="841" spans="22:25" ht="15">
      <c r="V841" t="str">
        <f t="shared" si="13"/>
        <v>Tons of water/24 Hours  &lt;&lt;&lt;&gt;&gt;&gt; Pounds of water/Hour </v>
      </c>
      <c r="W841" t="s">
        <v>619</v>
      </c>
      <c r="X841" t="s">
        <v>620</v>
      </c>
      <c r="Y841">
        <v>83.333</v>
      </c>
    </row>
    <row r="842" spans="22:25" ht="15">
      <c r="V842" t="str">
        <f t="shared" si="13"/>
        <v>Volt (absolute)  &lt;&lt;&lt;&gt;&gt;&gt; StatVolts </v>
      </c>
      <c r="W842" t="s">
        <v>621</v>
      </c>
      <c r="X842" t="s">
        <v>622</v>
      </c>
      <c r="Y842">
        <v>0.003336</v>
      </c>
    </row>
    <row r="843" spans="22:25" ht="15">
      <c r="V843" t="str">
        <f t="shared" si="13"/>
        <v>Volt Inch  &lt;&lt;&lt;&gt;&gt;&gt; Volt/Centimeters </v>
      </c>
      <c r="W843" t="s">
        <v>623</v>
      </c>
      <c r="X843" t="s">
        <v>624</v>
      </c>
      <c r="Y843">
        <v>0.3937</v>
      </c>
    </row>
    <row r="844" spans="22:25" ht="15">
      <c r="V844" t="str">
        <f t="shared" si="13"/>
        <v>Watt (international)  &lt;&lt;&lt;&gt;&gt;&gt; Watt (absolute) </v>
      </c>
      <c r="W844" t="s">
        <v>625</v>
      </c>
      <c r="X844" t="s">
        <v>626</v>
      </c>
      <c r="Y844">
        <v>1.0002</v>
      </c>
    </row>
    <row r="845" spans="22:25" ht="15">
      <c r="V845" t="str">
        <f t="shared" si="13"/>
        <v>Watt-Hours  &lt;&lt;&lt;&gt;&gt;&gt; BTU </v>
      </c>
      <c r="W845" t="s">
        <v>371</v>
      </c>
      <c r="X845" t="s">
        <v>1133</v>
      </c>
      <c r="Y845">
        <v>3.413</v>
      </c>
    </row>
    <row r="846" spans="22:25" ht="15">
      <c r="V846" t="str">
        <f t="shared" si="13"/>
        <v>Watt-Hours  &lt;&lt;&lt;&gt;&gt;&gt; Ergs </v>
      </c>
      <c r="W846" t="s">
        <v>371</v>
      </c>
      <c r="X846" t="s">
        <v>1134</v>
      </c>
      <c r="Y846">
        <v>36000000000</v>
      </c>
    </row>
    <row r="847" spans="22:25" ht="15">
      <c r="V847" t="str">
        <f t="shared" si="13"/>
        <v>Watt-Hours  &lt;&lt;&lt;&gt;&gt;&gt; Foot-pounds </v>
      </c>
      <c r="W847" t="s">
        <v>371</v>
      </c>
      <c r="X847" t="s">
        <v>389</v>
      </c>
      <c r="Y847">
        <v>2656</v>
      </c>
    </row>
    <row r="848" spans="22:25" ht="15">
      <c r="V848" t="str">
        <f t="shared" si="13"/>
        <v>Watt-Hours  &lt;&lt;&lt;&gt;&gt;&gt; Gram-Calories </v>
      </c>
      <c r="W848" t="s">
        <v>371</v>
      </c>
      <c r="X848" t="s">
        <v>1136</v>
      </c>
      <c r="Y848">
        <v>859.85</v>
      </c>
    </row>
    <row r="849" spans="22:25" ht="15">
      <c r="V849" t="str">
        <f t="shared" si="13"/>
        <v>Watt-Hours  &lt;&lt;&lt;&gt;&gt;&gt; HorsePower-Hours </v>
      </c>
      <c r="W849" t="s">
        <v>371</v>
      </c>
      <c r="X849" t="s">
        <v>1137</v>
      </c>
      <c r="Y849">
        <v>0.00134</v>
      </c>
    </row>
    <row r="850" spans="22:25" ht="15">
      <c r="V850" t="str">
        <f t="shared" si="13"/>
        <v>Watt-Hours  &lt;&lt;&lt;&gt;&gt;&gt; Kilogram-Calories </v>
      </c>
      <c r="W850" t="s">
        <v>371</v>
      </c>
      <c r="X850" t="s">
        <v>1139</v>
      </c>
      <c r="Y850">
        <v>0.8605</v>
      </c>
    </row>
    <row r="851" spans="22:25" ht="15">
      <c r="V851" t="str">
        <f t="shared" si="13"/>
        <v>Watt-Hours  &lt;&lt;&lt;&gt;&gt;&gt; kiloram-meters </v>
      </c>
      <c r="W851" t="s">
        <v>371</v>
      </c>
      <c r="X851" t="s">
        <v>627</v>
      </c>
      <c r="Y851">
        <v>367.2</v>
      </c>
    </row>
    <row r="852" spans="22:25" ht="15">
      <c r="V852" t="str">
        <f t="shared" si="13"/>
        <v>Watt-Hours  &lt;&lt;&lt;&gt;&gt;&gt; Kilowatt-Hours </v>
      </c>
      <c r="W852" t="s">
        <v>371</v>
      </c>
      <c r="X852" t="s">
        <v>1141</v>
      </c>
      <c r="Y852">
        <v>0.001</v>
      </c>
    </row>
    <row r="853" spans="22:25" ht="15">
      <c r="V853" t="str">
        <f t="shared" si="13"/>
        <v>Watts  &lt;&lt;&lt;&gt;&gt;&gt; BTU/Hour </v>
      </c>
      <c r="W853" t="s">
        <v>229</v>
      </c>
      <c r="X853" t="s">
        <v>1142</v>
      </c>
      <c r="Y853">
        <v>3.4129</v>
      </c>
    </row>
    <row r="854" spans="22:25" ht="15">
      <c r="V854" t="str">
        <f t="shared" si="13"/>
        <v>Watts  &lt;&lt;&lt;&gt;&gt;&gt; BTU/Minute </v>
      </c>
      <c r="W854" t="s">
        <v>229</v>
      </c>
      <c r="X854" t="s">
        <v>230</v>
      </c>
      <c r="Y854">
        <v>0.05688</v>
      </c>
    </row>
    <row r="855" spans="22:25" ht="15">
      <c r="V855" t="str">
        <f t="shared" si="13"/>
        <v>Watts  &lt;&lt;&lt;&gt;&gt;&gt; Erg/Second </v>
      </c>
      <c r="W855" t="s">
        <v>229</v>
      </c>
      <c r="X855" t="s">
        <v>628</v>
      </c>
      <c r="Y855">
        <v>107</v>
      </c>
    </row>
    <row r="856" spans="22:25" ht="15">
      <c r="V856" t="str">
        <f t="shared" si="13"/>
        <v>Watts  &lt;&lt;&lt;&gt;&gt;&gt; Foot-lbs/Minute </v>
      </c>
      <c r="W856" t="s">
        <v>229</v>
      </c>
      <c r="X856" t="s">
        <v>439</v>
      </c>
      <c r="Y856">
        <v>44.27</v>
      </c>
    </row>
    <row r="857" spans="22:25" ht="15">
      <c r="V857" t="str">
        <f t="shared" si="13"/>
        <v>Watts  &lt;&lt;&lt;&gt;&gt;&gt; Foot-lbs/Second </v>
      </c>
      <c r="W857" t="s">
        <v>229</v>
      </c>
      <c r="X857" t="s">
        <v>231</v>
      </c>
      <c r="Y857">
        <v>0.7378</v>
      </c>
    </row>
    <row r="858" spans="22:25" ht="15">
      <c r="V858" t="str">
        <f t="shared" si="13"/>
        <v>Watts  &lt;&lt;&lt;&gt;&gt;&gt; HorsePower </v>
      </c>
      <c r="W858" t="s">
        <v>229</v>
      </c>
      <c r="X858" t="s">
        <v>232</v>
      </c>
      <c r="Y858">
        <v>0.00134</v>
      </c>
    </row>
    <row r="859" spans="22:25" ht="15">
      <c r="V859" t="str">
        <f t="shared" si="13"/>
        <v>Watts  &lt;&lt;&lt;&gt;&gt;&gt; HorsePower (metric) </v>
      </c>
      <c r="W859" t="s">
        <v>229</v>
      </c>
      <c r="X859" t="s">
        <v>442</v>
      </c>
      <c r="Y859">
        <v>0.00136</v>
      </c>
    </row>
    <row r="860" spans="22:25" ht="15">
      <c r="V860" t="str">
        <f t="shared" si="13"/>
        <v>Watts  &lt;&lt;&lt;&gt;&gt;&gt; Kilogram-Calories/Minute </v>
      </c>
      <c r="W860" t="s">
        <v>229</v>
      </c>
      <c r="X860" t="s">
        <v>440</v>
      </c>
      <c r="Y860">
        <v>0.01433</v>
      </c>
    </row>
    <row r="861" spans="22:25" ht="15">
      <c r="V861" t="str">
        <f t="shared" si="13"/>
        <v>Watts  &lt;&lt;&lt;&gt;&gt;&gt; Kilowatts </v>
      </c>
      <c r="W861" t="s">
        <v>229</v>
      </c>
      <c r="X861" t="s">
        <v>233</v>
      </c>
      <c r="Y861">
        <v>0.001</v>
      </c>
    </row>
    <row r="862" spans="22:25" ht="15">
      <c r="V862" t="str">
        <f t="shared" si="13"/>
        <v>Watts (absolute)  &lt;&lt;&lt;&gt;&gt;&gt; BTU (mean)/Minute </v>
      </c>
      <c r="W862" t="s">
        <v>629</v>
      </c>
      <c r="X862" t="s">
        <v>630</v>
      </c>
      <c r="Y862">
        <v>0.056884</v>
      </c>
    </row>
    <row r="863" spans="22:25" ht="15">
      <c r="V863" t="str">
        <f t="shared" si="13"/>
        <v>Watts (absolute)  &lt;&lt;&lt;&gt;&gt;&gt; Joules/Second </v>
      </c>
      <c r="W863" t="s">
        <v>629</v>
      </c>
      <c r="X863" t="s">
        <v>631</v>
      </c>
      <c r="Y863">
        <v>1</v>
      </c>
    </row>
    <row r="864" spans="22:25" ht="15">
      <c r="V864" t="str">
        <f t="shared" si="13"/>
        <v>Week  &lt;&lt;&lt;&gt;&gt;&gt; Day </v>
      </c>
      <c r="W864" t="s">
        <v>632</v>
      </c>
      <c r="X864" t="s">
        <v>633</v>
      </c>
      <c r="Y864">
        <v>7</v>
      </c>
    </row>
    <row r="865" spans="22:25" ht="15">
      <c r="V865" t="str">
        <f t="shared" si="13"/>
        <v>Week  &lt;&lt;&lt;&gt;&gt;&gt; Hour </v>
      </c>
      <c r="W865" t="s">
        <v>632</v>
      </c>
      <c r="X865" t="s">
        <v>634</v>
      </c>
      <c r="Y865">
        <v>168</v>
      </c>
    </row>
    <row r="866" spans="22:25" ht="15">
      <c r="V866" t="str">
        <f t="shared" si="13"/>
        <v>Week  &lt;&lt;&lt;&gt;&gt;&gt; Minute (time) </v>
      </c>
      <c r="W866" t="s">
        <v>632</v>
      </c>
      <c r="X866" t="s">
        <v>635</v>
      </c>
      <c r="Y866">
        <v>10080</v>
      </c>
    </row>
    <row r="867" spans="22:25" ht="15">
      <c r="V867" t="str">
        <f t="shared" si="13"/>
        <v>Week  &lt;&lt;&lt;&gt;&gt;&gt; Month </v>
      </c>
      <c r="W867" t="s">
        <v>632</v>
      </c>
      <c r="X867" t="s">
        <v>636</v>
      </c>
      <c r="Y867">
        <v>0.2299795</v>
      </c>
    </row>
    <row r="868" spans="22:25" ht="15">
      <c r="V868" t="str">
        <f t="shared" si="13"/>
        <v>Week  &lt;&lt;&lt;&gt;&gt;&gt; Second </v>
      </c>
      <c r="W868" t="s">
        <v>632</v>
      </c>
      <c r="X868" t="s">
        <v>637</v>
      </c>
      <c r="Y868">
        <v>605000</v>
      </c>
    </row>
    <row r="869" spans="22:25" ht="15">
      <c r="V869" t="str">
        <f t="shared" si="13"/>
        <v>Yards  &lt;&lt;&lt;&gt;&gt;&gt; Centimeters </v>
      </c>
      <c r="W869" t="s">
        <v>503</v>
      </c>
      <c r="X869" t="s">
        <v>496</v>
      </c>
      <c r="Y869">
        <v>91.44</v>
      </c>
    </row>
    <row r="870" spans="22:25" ht="15">
      <c r="V870" t="str">
        <f t="shared" si="13"/>
        <v>Yards  &lt;&lt;&lt;&gt;&gt;&gt; fathom </v>
      </c>
      <c r="W870" t="s">
        <v>503</v>
      </c>
      <c r="X870" t="s">
        <v>638</v>
      </c>
      <c r="Y870">
        <v>0.5</v>
      </c>
    </row>
    <row r="871" spans="22:25" ht="15">
      <c r="V871" t="str">
        <f t="shared" si="13"/>
        <v>Yards  &lt;&lt;&lt;&gt;&gt;&gt; Foot </v>
      </c>
      <c r="W871" t="s">
        <v>503</v>
      </c>
      <c r="X871" t="s">
        <v>639</v>
      </c>
      <c r="Y871">
        <v>3</v>
      </c>
    </row>
    <row r="872" spans="22:25" ht="15">
      <c r="V872" t="str">
        <f t="shared" si="13"/>
        <v>Yards  &lt;&lt;&lt;&gt;&gt;&gt; Inches </v>
      </c>
      <c r="W872" t="s">
        <v>503</v>
      </c>
      <c r="X872" t="s">
        <v>498</v>
      </c>
      <c r="Y872">
        <v>36</v>
      </c>
    </row>
    <row r="873" spans="22:25" ht="15">
      <c r="V873" t="str">
        <f t="shared" si="13"/>
        <v>Yards  &lt;&lt;&lt;&gt;&gt;&gt; Kilometers </v>
      </c>
      <c r="W873" t="s">
        <v>503</v>
      </c>
      <c r="X873" t="s">
        <v>494</v>
      </c>
      <c r="Y873">
        <v>0.000914</v>
      </c>
    </row>
    <row r="874" spans="22:25" ht="15">
      <c r="V874" t="str">
        <f t="shared" si="13"/>
        <v>Yards  &lt;&lt;&lt;&gt;&gt;&gt; Meters </v>
      </c>
      <c r="W874" t="s">
        <v>503</v>
      </c>
      <c r="X874" t="s">
        <v>500</v>
      </c>
      <c r="Y874">
        <v>0.9144</v>
      </c>
    </row>
    <row r="875" spans="22:25" ht="15">
      <c r="V875" t="str">
        <f t="shared" si="13"/>
        <v>Yards  &lt;&lt;&lt;&gt;&gt;&gt; Miles (nautical) </v>
      </c>
      <c r="W875" t="s">
        <v>503</v>
      </c>
      <c r="X875" t="s">
        <v>537</v>
      </c>
      <c r="Y875">
        <v>0.000493</v>
      </c>
    </row>
    <row r="876" spans="22:25" ht="15">
      <c r="V876" t="str">
        <f t="shared" si="13"/>
        <v>Yards  &lt;&lt;&lt;&gt;&gt;&gt; Miles (statute) </v>
      </c>
      <c r="W876" t="s">
        <v>503</v>
      </c>
      <c r="X876" t="s">
        <v>538</v>
      </c>
      <c r="Y876">
        <v>0.000568</v>
      </c>
    </row>
    <row r="877" spans="22:25" ht="15">
      <c r="V877" t="str">
        <f t="shared" si="13"/>
        <v>Yards  &lt;&lt;&lt;&gt;&gt;&gt; Millimeters </v>
      </c>
      <c r="W877" t="s">
        <v>503</v>
      </c>
      <c r="X877" t="s">
        <v>502</v>
      </c>
      <c r="Y877">
        <v>914.4</v>
      </c>
    </row>
    <row r="878" spans="22:25" ht="15">
      <c r="V878" t="str">
        <f t="shared" si="13"/>
        <v>Year (mean of 4 Year period) &lt;&lt;&lt;&gt;&gt;&gt; Day </v>
      </c>
      <c r="W878" t="s">
        <v>640</v>
      </c>
      <c r="X878" t="s">
        <v>633</v>
      </c>
      <c r="Y878">
        <v>365.25</v>
      </c>
    </row>
    <row r="879" spans="22:25" ht="15">
      <c r="V879" t="str">
        <f t="shared" si="13"/>
        <v>Year (mean of 4 Year period) &lt;&lt;&lt;&gt;&gt;&gt; Hour </v>
      </c>
      <c r="W879" t="s">
        <v>640</v>
      </c>
      <c r="X879" t="s">
        <v>634</v>
      </c>
      <c r="Y879">
        <v>8766</v>
      </c>
    </row>
    <row r="880" spans="22:25" ht="15">
      <c r="V880" t="str">
        <f t="shared" si="13"/>
        <v>Year (mean of 4 Year period) &lt;&lt;&lt;&gt;&gt;&gt; Minute </v>
      </c>
      <c r="W880" t="s">
        <v>640</v>
      </c>
      <c r="X880" t="s">
        <v>641</v>
      </c>
      <c r="Y880">
        <v>526000</v>
      </c>
    </row>
    <row r="881" spans="22:25" ht="15">
      <c r="V881" t="str">
        <f t="shared" si="13"/>
        <v>Year (mean of 4 Year period) &lt;&lt;&lt;&gt;&gt;&gt; Second </v>
      </c>
      <c r="W881" t="s">
        <v>640</v>
      </c>
      <c r="X881" t="s">
        <v>637</v>
      </c>
      <c r="Y881">
        <v>31600000</v>
      </c>
    </row>
    <row r="882" spans="22:25" ht="15">
      <c r="V882" t="str">
        <f t="shared" si="13"/>
        <v>Year (mean of 4 Year period) &lt;&lt;&lt;&gt;&gt;&gt; Week </v>
      </c>
      <c r="W882" t="s">
        <v>640</v>
      </c>
      <c r="X882" t="s">
        <v>632</v>
      </c>
      <c r="Y882">
        <v>52.17857</v>
      </c>
    </row>
    <row r="883" ht="15">
      <c r="V883">
        <f t="shared" si="13"/>
      </c>
    </row>
    <row r="884" ht="15">
      <c r="V884">
        <f t="shared" si="13"/>
      </c>
    </row>
    <row r="885" ht="15">
      <c r="V885">
        <f t="shared" si="13"/>
      </c>
    </row>
    <row r="886" ht="15">
      <c r="V886">
        <f t="shared" si="13"/>
      </c>
    </row>
    <row r="887" ht="15">
      <c r="V887">
        <f t="shared" si="13"/>
      </c>
    </row>
    <row r="888" ht="15">
      <c r="V888">
        <f t="shared" si="13"/>
      </c>
    </row>
    <row r="889" ht="15">
      <c r="V889">
        <f t="shared" si="13"/>
      </c>
    </row>
    <row r="890" ht="15">
      <c r="V890">
        <f t="shared" si="13"/>
      </c>
    </row>
    <row r="891" ht="15">
      <c r="V891">
        <f t="shared" si="13"/>
      </c>
    </row>
    <row r="892" ht="15">
      <c r="V892">
        <f t="shared" si="13"/>
      </c>
    </row>
    <row r="893" ht="15">
      <c r="V893">
        <f t="shared" si="13"/>
      </c>
    </row>
    <row r="894" ht="15">
      <c r="V894">
        <f t="shared" si="13"/>
      </c>
    </row>
    <row r="895" ht="15">
      <c r="V895">
        <f t="shared" si="13"/>
      </c>
    </row>
    <row r="896" ht="15">
      <c r="V896">
        <f t="shared" si="13"/>
      </c>
    </row>
    <row r="897" ht="15">
      <c r="V897">
        <f t="shared" si="13"/>
      </c>
    </row>
    <row r="898" ht="15">
      <c r="V898">
        <f t="shared" si="13"/>
      </c>
    </row>
    <row r="899" ht="15">
      <c r="V899">
        <f aca="true" t="shared" si="14" ref="V899:V962">IF(W899="","",W899&amp;" &lt;&lt;&lt;&gt;&gt;&gt; "&amp;X899)</f>
      </c>
    </row>
    <row r="900" ht="15">
      <c r="V900">
        <f t="shared" si="14"/>
      </c>
    </row>
    <row r="901" ht="15">
      <c r="V901">
        <f t="shared" si="14"/>
      </c>
    </row>
    <row r="902" ht="15">
      <c r="V902">
        <f t="shared" si="14"/>
      </c>
    </row>
    <row r="903" ht="15">
      <c r="V903">
        <f t="shared" si="14"/>
      </c>
    </row>
    <row r="904" ht="15">
      <c r="V904">
        <f t="shared" si="14"/>
      </c>
    </row>
    <row r="905" ht="15">
      <c r="V905">
        <f t="shared" si="14"/>
      </c>
    </row>
    <row r="906" ht="15">
      <c r="V906">
        <f t="shared" si="14"/>
      </c>
    </row>
    <row r="907" ht="15">
      <c r="V907">
        <f t="shared" si="14"/>
      </c>
    </row>
    <row r="908" ht="15">
      <c r="V908">
        <f t="shared" si="14"/>
      </c>
    </row>
    <row r="909" ht="15">
      <c r="V909">
        <f t="shared" si="14"/>
      </c>
    </row>
    <row r="910" ht="15">
      <c r="V910">
        <f t="shared" si="14"/>
      </c>
    </row>
    <row r="911" ht="15">
      <c r="V911">
        <f t="shared" si="14"/>
      </c>
    </row>
    <row r="912" ht="15">
      <c r="V912">
        <f t="shared" si="14"/>
      </c>
    </row>
    <row r="913" ht="15">
      <c r="V913">
        <f t="shared" si="14"/>
      </c>
    </row>
    <row r="914" ht="15">
      <c r="V914">
        <f t="shared" si="14"/>
      </c>
    </row>
    <row r="915" ht="15">
      <c r="V915">
        <f t="shared" si="14"/>
      </c>
    </row>
    <row r="916" ht="15">
      <c r="V916">
        <f t="shared" si="14"/>
      </c>
    </row>
    <row r="917" ht="15">
      <c r="V917">
        <f t="shared" si="14"/>
      </c>
    </row>
    <row r="918" ht="15">
      <c r="V918">
        <f t="shared" si="14"/>
      </c>
    </row>
    <row r="919" ht="15">
      <c r="V919">
        <f t="shared" si="14"/>
      </c>
    </row>
    <row r="920" ht="15">
      <c r="V920">
        <f t="shared" si="14"/>
      </c>
    </row>
    <row r="921" ht="15">
      <c r="V921">
        <f t="shared" si="14"/>
      </c>
    </row>
    <row r="922" ht="15">
      <c r="V922">
        <f t="shared" si="14"/>
      </c>
    </row>
    <row r="923" ht="15">
      <c r="V923">
        <f t="shared" si="14"/>
      </c>
    </row>
    <row r="924" ht="15">
      <c r="V924">
        <f t="shared" si="14"/>
      </c>
    </row>
    <row r="925" ht="15">
      <c r="V925">
        <f t="shared" si="14"/>
      </c>
    </row>
    <row r="926" ht="15">
      <c r="V926">
        <f t="shared" si="14"/>
      </c>
    </row>
    <row r="927" ht="15">
      <c r="V927">
        <f t="shared" si="14"/>
      </c>
    </row>
    <row r="928" ht="15">
      <c r="V928">
        <f t="shared" si="14"/>
      </c>
    </row>
    <row r="929" ht="15">
      <c r="V929">
        <f t="shared" si="14"/>
      </c>
    </row>
    <row r="930" ht="15">
      <c r="V930">
        <f t="shared" si="14"/>
      </c>
    </row>
    <row r="931" ht="15">
      <c r="V931">
        <f t="shared" si="14"/>
      </c>
    </row>
    <row r="932" ht="15">
      <c r="V932">
        <f t="shared" si="14"/>
      </c>
    </row>
    <row r="933" ht="15">
      <c r="V933">
        <f t="shared" si="14"/>
      </c>
    </row>
    <row r="934" ht="15">
      <c r="V934">
        <f t="shared" si="14"/>
      </c>
    </row>
    <row r="935" ht="15">
      <c r="V935">
        <f t="shared" si="14"/>
      </c>
    </row>
    <row r="936" ht="15">
      <c r="V936">
        <f t="shared" si="14"/>
      </c>
    </row>
    <row r="937" ht="15">
      <c r="V937">
        <f t="shared" si="14"/>
      </c>
    </row>
    <row r="938" ht="15">
      <c r="V938">
        <f t="shared" si="14"/>
      </c>
    </row>
    <row r="939" ht="15">
      <c r="V939">
        <f t="shared" si="14"/>
      </c>
    </row>
    <row r="940" ht="15">
      <c r="V940">
        <f t="shared" si="14"/>
      </c>
    </row>
    <row r="941" ht="15">
      <c r="V941">
        <f t="shared" si="14"/>
      </c>
    </row>
    <row r="942" ht="15">
      <c r="V942">
        <f t="shared" si="14"/>
      </c>
    </row>
    <row r="943" ht="15">
      <c r="V943">
        <f t="shared" si="14"/>
      </c>
    </row>
    <row r="944" ht="15">
      <c r="V944">
        <f t="shared" si="14"/>
      </c>
    </row>
    <row r="945" ht="15">
      <c r="V945">
        <f t="shared" si="14"/>
      </c>
    </row>
    <row r="946" ht="15">
      <c r="V946">
        <f t="shared" si="14"/>
      </c>
    </row>
    <row r="947" ht="15">
      <c r="V947">
        <f t="shared" si="14"/>
      </c>
    </row>
    <row r="948" ht="15">
      <c r="V948">
        <f t="shared" si="14"/>
      </c>
    </row>
    <row r="949" ht="15">
      <c r="V949">
        <f t="shared" si="14"/>
      </c>
    </row>
    <row r="950" ht="15">
      <c r="V950">
        <f t="shared" si="14"/>
      </c>
    </row>
    <row r="951" ht="15">
      <c r="V951">
        <f t="shared" si="14"/>
      </c>
    </row>
    <row r="952" ht="15">
      <c r="V952">
        <f t="shared" si="14"/>
      </c>
    </row>
    <row r="953" ht="15">
      <c r="V953">
        <f t="shared" si="14"/>
      </c>
    </row>
    <row r="954" ht="15">
      <c r="V954">
        <f t="shared" si="14"/>
      </c>
    </row>
    <row r="955" ht="15">
      <c r="V955">
        <f t="shared" si="14"/>
      </c>
    </row>
    <row r="956" ht="15">
      <c r="V956">
        <f t="shared" si="14"/>
      </c>
    </row>
    <row r="957" ht="15">
      <c r="V957">
        <f t="shared" si="14"/>
      </c>
    </row>
    <row r="958" ht="15">
      <c r="V958">
        <f t="shared" si="14"/>
      </c>
    </row>
    <row r="959" ht="15">
      <c r="V959">
        <f t="shared" si="14"/>
      </c>
    </row>
    <row r="960" ht="15">
      <c r="V960">
        <f t="shared" si="14"/>
      </c>
    </row>
    <row r="961" ht="15">
      <c r="V961">
        <f t="shared" si="14"/>
      </c>
    </row>
    <row r="962" ht="15">
      <c r="V962">
        <f t="shared" si="14"/>
      </c>
    </row>
    <row r="963" ht="15">
      <c r="V963">
        <f aca="true" t="shared" si="15" ref="V963:V1026">IF(W963="","",W963&amp;" &lt;&lt;&lt;&gt;&gt;&gt; "&amp;X963)</f>
      </c>
    </row>
    <row r="964" ht="15">
      <c r="V964">
        <f t="shared" si="15"/>
      </c>
    </row>
    <row r="965" ht="15">
      <c r="V965">
        <f t="shared" si="15"/>
      </c>
    </row>
    <row r="966" ht="15">
      <c r="V966">
        <f t="shared" si="15"/>
      </c>
    </row>
    <row r="967" ht="15">
      <c r="V967">
        <f t="shared" si="15"/>
      </c>
    </row>
    <row r="968" ht="15">
      <c r="V968">
        <f t="shared" si="15"/>
      </c>
    </row>
    <row r="969" ht="15">
      <c r="V969">
        <f t="shared" si="15"/>
      </c>
    </row>
    <row r="970" ht="15">
      <c r="V970">
        <f t="shared" si="15"/>
      </c>
    </row>
    <row r="971" ht="15">
      <c r="V971">
        <f t="shared" si="15"/>
      </c>
    </row>
    <row r="972" ht="15">
      <c r="V972">
        <f t="shared" si="15"/>
      </c>
    </row>
    <row r="973" ht="15">
      <c r="V973">
        <f t="shared" si="15"/>
      </c>
    </row>
    <row r="974" ht="15">
      <c r="V974">
        <f t="shared" si="15"/>
      </c>
    </row>
    <row r="975" ht="15">
      <c r="V975">
        <f t="shared" si="15"/>
      </c>
    </row>
    <row r="976" ht="15">
      <c r="V976">
        <f t="shared" si="15"/>
      </c>
    </row>
    <row r="977" ht="15">
      <c r="V977">
        <f t="shared" si="15"/>
      </c>
    </row>
    <row r="978" ht="15">
      <c r="V978">
        <f t="shared" si="15"/>
      </c>
    </row>
    <row r="979" ht="15">
      <c r="V979">
        <f t="shared" si="15"/>
      </c>
    </row>
    <row r="980" ht="15">
      <c r="V980">
        <f t="shared" si="15"/>
      </c>
    </row>
    <row r="981" ht="15">
      <c r="V981">
        <f t="shared" si="15"/>
      </c>
    </row>
    <row r="982" ht="15">
      <c r="V982">
        <f t="shared" si="15"/>
      </c>
    </row>
    <row r="983" ht="15">
      <c r="V983">
        <f t="shared" si="15"/>
      </c>
    </row>
    <row r="984" ht="15">
      <c r="V984">
        <f t="shared" si="15"/>
      </c>
    </row>
    <row r="985" ht="15">
      <c r="V985">
        <f t="shared" si="15"/>
      </c>
    </row>
    <row r="986" ht="15">
      <c r="V986">
        <f t="shared" si="15"/>
      </c>
    </row>
    <row r="987" ht="15">
      <c r="V987">
        <f t="shared" si="15"/>
      </c>
    </row>
    <row r="988" ht="15">
      <c r="V988">
        <f t="shared" si="15"/>
      </c>
    </row>
    <row r="989" ht="15">
      <c r="V989">
        <f t="shared" si="15"/>
      </c>
    </row>
    <row r="990" ht="15">
      <c r="V990">
        <f t="shared" si="15"/>
      </c>
    </row>
    <row r="991" ht="15">
      <c r="V991">
        <f t="shared" si="15"/>
      </c>
    </row>
    <row r="992" ht="15">
      <c r="V992">
        <f t="shared" si="15"/>
      </c>
    </row>
    <row r="993" ht="15">
      <c r="V993">
        <f t="shared" si="15"/>
      </c>
    </row>
    <row r="994" ht="15">
      <c r="V994">
        <f t="shared" si="15"/>
      </c>
    </row>
    <row r="995" ht="15">
      <c r="V995">
        <f t="shared" si="15"/>
      </c>
    </row>
    <row r="996" ht="15">
      <c r="V996">
        <f t="shared" si="15"/>
      </c>
    </row>
    <row r="997" ht="15">
      <c r="V997">
        <f t="shared" si="15"/>
      </c>
    </row>
    <row r="998" ht="15">
      <c r="V998">
        <f t="shared" si="15"/>
      </c>
    </row>
    <row r="999" ht="15">
      <c r="V999">
        <f t="shared" si="15"/>
      </c>
    </row>
    <row r="1000" ht="15">
      <c r="V1000">
        <f t="shared" si="15"/>
      </c>
    </row>
    <row r="1001" ht="15">
      <c r="V1001">
        <f t="shared" si="15"/>
      </c>
    </row>
    <row r="1002" ht="15">
      <c r="V1002">
        <f t="shared" si="15"/>
      </c>
    </row>
    <row r="1003" ht="15">
      <c r="V1003">
        <f t="shared" si="15"/>
      </c>
    </row>
    <row r="1004" ht="15">
      <c r="V1004">
        <f t="shared" si="15"/>
      </c>
    </row>
    <row r="1005" ht="15">
      <c r="V1005">
        <f t="shared" si="15"/>
      </c>
    </row>
    <row r="1006" ht="15">
      <c r="V1006">
        <f t="shared" si="15"/>
      </c>
    </row>
    <row r="1007" ht="15">
      <c r="V1007">
        <f t="shared" si="15"/>
      </c>
    </row>
    <row r="1008" ht="15">
      <c r="V1008">
        <f t="shared" si="15"/>
      </c>
    </row>
    <row r="1009" ht="15">
      <c r="V1009">
        <f t="shared" si="15"/>
      </c>
    </row>
    <row r="1010" ht="15">
      <c r="V1010">
        <f t="shared" si="15"/>
      </c>
    </row>
    <row r="1011" ht="15">
      <c r="V1011">
        <f t="shared" si="15"/>
      </c>
    </row>
    <row r="1012" ht="15">
      <c r="V1012">
        <f t="shared" si="15"/>
      </c>
    </row>
    <row r="1013" ht="15">
      <c r="V1013">
        <f t="shared" si="15"/>
      </c>
    </row>
    <row r="1014" ht="15">
      <c r="V1014">
        <f t="shared" si="15"/>
      </c>
    </row>
    <row r="1015" ht="15">
      <c r="V1015">
        <f t="shared" si="15"/>
      </c>
    </row>
    <row r="1016" ht="15">
      <c r="V1016">
        <f t="shared" si="15"/>
      </c>
    </row>
    <row r="1017" ht="15">
      <c r="V1017">
        <f t="shared" si="15"/>
      </c>
    </row>
    <row r="1018" ht="15">
      <c r="V1018">
        <f t="shared" si="15"/>
      </c>
    </row>
    <row r="1019" ht="15">
      <c r="V1019">
        <f t="shared" si="15"/>
      </c>
    </row>
    <row r="1020" ht="15">
      <c r="V1020">
        <f t="shared" si="15"/>
      </c>
    </row>
    <row r="1021" ht="15">
      <c r="V1021">
        <f t="shared" si="15"/>
      </c>
    </row>
    <row r="1022" ht="15">
      <c r="V1022">
        <f t="shared" si="15"/>
      </c>
    </row>
    <row r="1023" ht="15">
      <c r="V1023">
        <f t="shared" si="15"/>
      </c>
    </row>
    <row r="1024" ht="15">
      <c r="V1024">
        <f t="shared" si="15"/>
      </c>
    </row>
    <row r="1025" ht="15">
      <c r="V1025">
        <f t="shared" si="15"/>
      </c>
    </row>
    <row r="1026" ht="15">
      <c r="V1026">
        <f t="shared" si="15"/>
      </c>
    </row>
    <row r="1027" ht="15">
      <c r="V1027">
        <f aca="true" t="shared" si="16" ref="V1027:V1090">IF(W1027="","",W1027&amp;" &lt;&lt;&lt;&gt;&gt;&gt; "&amp;X1027)</f>
      </c>
    </row>
    <row r="1028" ht="15">
      <c r="V1028">
        <f t="shared" si="16"/>
      </c>
    </row>
    <row r="1029" ht="15">
      <c r="V1029">
        <f t="shared" si="16"/>
      </c>
    </row>
    <row r="1030" ht="15">
      <c r="V1030">
        <f t="shared" si="16"/>
      </c>
    </row>
    <row r="1031" ht="15">
      <c r="V1031">
        <f t="shared" si="16"/>
      </c>
    </row>
    <row r="1032" ht="15">
      <c r="V1032">
        <f t="shared" si="16"/>
      </c>
    </row>
    <row r="1033" ht="15">
      <c r="V1033">
        <f t="shared" si="16"/>
      </c>
    </row>
    <row r="1034" ht="15">
      <c r="V1034">
        <f t="shared" si="16"/>
      </c>
    </row>
    <row r="1035" ht="15">
      <c r="V1035">
        <f t="shared" si="16"/>
      </c>
    </row>
    <row r="1036" ht="15">
      <c r="V1036">
        <f t="shared" si="16"/>
      </c>
    </row>
    <row r="1037" ht="15">
      <c r="V1037">
        <f t="shared" si="16"/>
      </c>
    </row>
    <row r="1038" ht="15">
      <c r="V1038">
        <f t="shared" si="16"/>
      </c>
    </row>
    <row r="1039" ht="15">
      <c r="V1039">
        <f t="shared" si="16"/>
      </c>
    </row>
    <row r="1040" ht="15">
      <c r="V1040">
        <f t="shared" si="16"/>
      </c>
    </row>
    <row r="1041" ht="15">
      <c r="V1041">
        <f t="shared" si="16"/>
      </c>
    </row>
    <row r="1042" ht="15">
      <c r="V1042">
        <f t="shared" si="16"/>
      </c>
    </row>
    <row r="1043" ht="15">
      <c r="V1043">
        <f t="shared" si="16"/>
      </c>
    </row>
    <row r="1044" ht="15">
      <c r="V1044">
        <f t="shared" si="16"/>
      </c>
    </row>
    <row r="1045" ht="15">
      <c r="V1045">
        <f t="shared" si="16"/>
      </c>
    </row>
    <row r="1046" ht="15">
      <c r="V1046">
        <f t="shared" si="16"/>
      </c>
    </row>
    <row r="1047" ht="15">
      <c r="V1047">
        <f t="shared" si="16"/>
      </c>
    </row>
    <row r="1048" ht="15">
      <c r="V1048">
        <f t="shared" si="16"/>
      </c>
    </row>
    <row r="1049" ht="15">
      <c r="V1049">
        <f t="shared" si="16"/>
      </c>
    </row>
    <row r="1050" ht="15">
      <c r="V1050">
        <f t="shared" si="16"/>
      </c>
    </row>
    <row r="1051" ht="15">
      <c r="V1051">
        <f t="shared" si="16"/>
      </c>
    </row>
    <row r="1052" ht="15">
      <c r="V1052">
        <f t="shared" si="16"/>
      </c>
    </row>
    <row r="1053" ht="15">
      <c r="V1053">
        <f t="shared" si="16"/>
      </c>
    </row>
    <row r="1054" ht="15">
      <c r="V1054">
        <f t="shared" si="16"/>
      </c>
    </row>
    <row r="1055" ht="15">
      <c r="V1055">
        <f t="shared" si="16"/>
      </c>
    </row>
    <row r="1056" ht="15">
      <c r="V1056">
        <f t="shared" si="16"/>
      </c>
    </row>
    <row r="1057" ht="15">
      <c r="V1057">
        <f t="shared" si="16"/>
      </c>
    </row>
    <row r="1058" ht="15">
      <c r="V1058">
        <f t="shared" si="16"/>
      </c>
    </row>
    <row r="1059" ht="15">
      <c r="V1059">
        <f t="shared" si="16"/>
      </c>
    </row>
    <row r="1060" ht="15">
      <c r="V1060">
        <f t="shared" si="16"/>
      </c>
    </row>
    <row r="1061" ht="15">
      <c r="V1061">
        <f t="shared" si="16"/>
      </c>
    </row>
    <row r="1062" ht="15">
      <c r="V1062">
        <f t="shared" si="16"/>
      </c>
    </row>
    <row r="1063" ht="15">
      <c r="V1063">
        <f t="shared" si="16"/>
      </c>
    </row>
    <row r="1064" ht="15">
      <c r="V1064">
        <f t="shared" si="16"/>
      </c>
    </row>
    <row r="1065" ht="15">
      <c r="V1065">
        <f t="shared" si="16"/>
      </c>
    </row>
    <row r="1066" ht="15">
      <c r="V1066">
        <f t="shared" si="16"/>
      </c>
    </row>
    <row r="1067" ht="15">
      <c r="V1067">
        <f t="shared" si="16"/>
      </c>
    </row>
    <row r="1068" ht="15">
      <c r="V1068">
        <f t="shared" si="16"/>
      </c>
    </row>
    <row r="1069" ht="15">
      <c r="V1069">
        <f t="shared" si="16"/>
      </c>
    </row>
    <row r="1070" ht="15">
      <c r="V1070">
        <f t="shared" si="16"/>
      </c>
    </row>
    <row r="1071" ht="15">
      <c r="V1071">
        <f t="shared" si="16"/>
      </c>
    </row>
    <row r="1072" ht="15">
      <c r="V1072">
        <f t="shared" si="16"/>
      </c>
    </row>
    <row r="1073" ht="15">
      <c r="V1073">
        <f t="shared" si="16"/>
      </c>
    </row>
    <row r="1074" ht="15">
      <c r="V1074">
        <f t="shared" si="16"/>
      </c>
    </row>
    <row r="1075" ht="15">
      <c r="V1075">
        <f t="shared" si="16"/>
      </c>
    </row>
    <row r="1076" ht="15">
      <c r="V1076">
        <f t="shared" si="16"/>
      </c>
    </row>
    <row r="1077" ht="15">
      <c r="V1077">
        <f t="shared" si="16"/>
      </c>
    </row>
    <row r="1078" ht="15">
      <c r="V1078">
        <f t="shared" si="16"/>
      </c>
    </row>
    <row r="1079" ht="15">
      <c r="V1079">
        <f t="shared" si="16"/>
      </c>
    </row>
    <row r="1080" ht="15">
      <c r="V1080">
        <f t="shared" si="16"/>
      </c>
    </row>
    <row r="1081" ht="15">
      <c r="V1081">
        <f t="shared" si="16"/>
      </c>
    </row>
    <row r="1082" ht="15">
      <c r="V1082">
        <f t="shared" si="16"/>
      </c>
    </row>
    <row r="1083" ht="15">
      <c r="V1083">
        <f t="shared" si="16"/>
      </c>
    </row>
    <row r="1084" ht="15">
      <c r="V1084">
        <f t="shared" si="16"/>
      </c>
    </row>
    <row r="1085" ht="15">
      <c r="V1085">
        <f t="shared" si="16"/>
      </c>
    </row>
    <row r="1086" ht="15">
      <c r="V1086">
        <f t="shared" si="16"/>
      </c>
    </row>
    <row r="1087" ht="15">
      <c r="V1087">
        <f t="shared" si="16"/>
      </c>
    </row>
    <row r="1088" ht="15">
      <c r="V1088">
        <f t="shared" si="16"/>
      </c>
    </row>
    <row r="1089" ht="15">
      <c r="V1089">
        <f t="shared" si="16"/>
      </c>
    </row>
    <row r="1090" ht="15">
      <c r="V1090">
        <f t="shared" si="16"/>
      </c>
    </row>
    <row r="1091" ht="15">
      <c r="V1091">
        <f aca="true" t="shared" si="17" ref="V1091:V1154">IF(W1091="","",W1091&amp;" &lt;&lt;&lt;&gt;&gt;&gt; "&amp;X1091)</f>
      </c>
    </row>
    <row r="1092" ht="15">
      <c r="V1092">
        <f t="shared" si="17"/>
      </c>
    </row>
    <row r="1093" ht="15">
      <c r="V1093">
        <f t="shared" si="17"/>
      </c>
    </row>
    <row r="1094" ht="15">
      <c r="V1094">
        <f t="shared" si="17"/>
      </c>
    </row>
    <row r="1095" ht="15">
      <c r="V1095">
        <f t="shared" si="17"/>
      </c>
    </row>
    <row r="1096" ht="15">
      <c r="V1096">
        <f t="shared" si="17"/>
      </c>
    </row>
    <row r="1097" ht="15">
      <c r="V1097">
        <f t="shared" si="17"/>
      </c>
    </row>
    <row r="1098" ht="15">
      <c r="V1098">
        <f t="shared" si="17"/>
      </c>
    </row>
    <row r="1099" ht="15">
      <c r="V1099">
        <f t="shared" si="17"/>
      </c>
    </row>
    <row r="1100" ht="15">
      <c r="V1100">
        <f t="shared" si="17"/>
      </c>
    </row>
    <row r="1101" ht="15">
      <c r="V1101">
        <f t="shared" si="17"/>
      </c>
    </row>
    <row r="1102" ht="15">
      <c r="V1102">
        <f t="shared" si="17"/>
      </c>
    </row>
    <row r="1103" ht="15">
      <c r="V1103">
        <f t="shared" si="17"/>
      </c>
    </row>
    <row r="1104" ht="15">
      <c r="V1104">
        <f t="shared" si="17"/>
      </c>
    </row>
    <row r="1105" ht="15">
      <c r="V1105">
        <f t="shared" si="17"/>
      </c>
    </row>
    <row r="1106" ht="15">
      <c r="V1106">
        <f t="shared" si="17"/>
      </c>
    </row>
    <row r="1107" ht="15">
      <c r="V1107">
        <f t="shared" si="17"/>
      </c>
    </row>
    <row r="1108" ht="15">
      <c r="V1108">
        <f t="shared" si="17"/>
      </c>
    </row>
    <row r="1109" ht="15">
      <c r="V1109">
        <f t="shared" si="17"/>
      </c>
    </row>
    <row r="1110" ht="15">
      <c r="V1110">
        <f t="shared" si="17"/>
      </c>
    </row>
    <row r="1111" ht="15">
      <c r="V1111">
        <f t="shared" si="17"/>
      </c>
    </row>
    <row r="1112" ht="15">
      <c r="V1112">
        <f t="shared" si="17"/>
      </c>
    </row>
    <row r="1113" ht="15">
      <c r="V1113">
        <f t="shared" si="17"/>
      </c>
    </row>
    <row r="1114" ht="15">
      <c r="V1114">
        <f t="shared" si="17"/>
      </c>
    </row>
    <row r="1115" ht="15">
      <c r="V1115">
        <f t="shared" si="17"/>
      </c>
    </row>
    <row r="1116" ht="15">
      <c r="V1116">
        <f t="shared" si="17"/>
      </c>
    </row>
    <row r="1117" ht="15">
      <c r="V1117">
        <f t="shared" si="17"/>
      </c>
    </row>
    <row r="1118" ht="15">
      <c r="V1118">
        <f t="shared" si="17"/>
      </c>
    </row>
    <row r="1119" ht="15">
      <c r="V1119">
        <f t="shared" si="17"/>
      </c>
    </row>
    <row r="1120" ht="15">
      <c r="V1120">
        <f t="shared" si="17"/>
      </c>
    </row>
    <row r="1121" ht="15">
      <c r="V1121">
        <f t="shared" si="17"/>
      </c>
    </row>
    <row r="1122" ht="15">
      <c r="V1122">
        <f t="shared" si="17"/>
      </c>
    </row>
    <row r="1123" ht="15">
      <c r="V1123">
        <f t="shared" si="17"/>
      </c>
    </row>
    <row r="1124" ht="15">
      <c r="V1124">
        <f t="shared" si="17"/>
      </c>
    </row>
    <row r="1125" ht="15">
      <c r="V1125">
        <f t="shared" si="17"/>
      </c>
    </row>
    <row r="1126" ht="15">
      <c r="V1126">
        <f t="shared" si="17"/>
      </c>
    </row>
    <row r="1127" ht="15">
      <c r="V1127">
        <f t="shared" si="17"/>
      </c>
    </row>
    <row r="1128" ht="15">
      <c r="V1128">
        <f t="shared" si="17"/>
      </c>
    </row>
    <row r="1129" ht="15">
      <c r="V1129">
        <f t="shared" si="17"/>
      </c>
    </row>
    <row r="1130" ht="15">
      <c r="V1130">
        <f t="shared" si="17"/>
      </c>
    </row>
    <row r="1131" ht="15">
      <c r="V1131">
        <f t="shared" si="17"/>
      </c>
    </row>
    <row r="1132" ht="15">
      <c r="V1132">
        <f t="shared" si="17"/>
      </c>
    </row>
    <row r="1133" ht="15">
      <c r="V1133">
        <f t="shared" si="17"/>
      </c>
    </row>
    <row r="1134" ht="15">
      <c r="V1134">
        <f t="shared" si="17"/>
      </c>
    </row>
    <row r="1135" ht="15">
      <c r="V1135">
        <f t="shared" si="17"/>
      </c>
    </row>
    <row r="1136" ht="15">
      <c r="V1136">
        <f t="shared" si="17"/>
      </c>
    </row>
    <row r="1137" ht="15">
      <c r="V1137">
        <f t="shared" si="17"/>
      </c>
    </row>
    <row r="1138" ht="15">
      <c r="V1138">
        <f t="shared" si="17"/>
      </c>
    </row>
    <row r="1139" ht="15">
      <c r="V1139">
        <f t="shared" si="17"/>
      </c>
    </row>
    <row r="1140" ht="15">
      <c r="V1140">
        <f t="shared" si="17"/>
      </c>
    </row>
    <row r="1141" ht="15">
      <c r="V1141">
        <f t="shared" si="17"/>
      </c>
    </row>
    <row r="1142" ht="15">
      <c r="V1142">
        <f t="shared" si="17"/>
      </c>
    </row>
    <row r="1143" ht="15">
      <c r="V1143">
        <f t="shared" si="17"/>
      </c>
    </row>
    <row r="1144" ht="15">
      <c r="V1144">
        <f t="shared" si="17"/>
      </c>
    </row>
    <row r="1145" ht="15">
      <c r="V1145">
        <f t="shared" si="17"/>
      </c>
    </row>
    <row r="1146" ht="15">
      <c r="V1146">
        <f t="shared" si="17"/>
      </c>
    </row>
    <row r="1147" ht="15">
      <c r="V1147">
        <f t="shared" si="17"/>
      </c>
    </row>
    <row r="1148" ht="15">
      <c r="V1148">
        <f t="shared" si="17"/>
      </c>
    </row>
    <row r="1149" ht="15">
      <c r="V1149">
        <f t="shared" si="17"/>
      </c>
    </row>
    <row r="1150" ht="15">
      <c r="V1150">
        <f t="shared" si="17"/>
      </c>
    </row>
    <row r="1151" ht="15">
      <c r="V1151">
        <f t="shared" si="17"/>
      </c>
    </row>
    <row r="1152" ht="15">
      <c r="V1152">
        <f t="shared" si="17"/>
      </c>
    </row>
    <row r="1153" ht="15">
      <c r="V1153">
        <f t="shared" si="17"/>
      </c>
    </row>
    <row r="1154" ht="15">
      <c r="V1154">
        <f t="shared" si="17"/>
      </c>
    </row>
    <row r="1155" ht="15">
      <c r="V1155">
        <f aca="true" t="shared" si="18" ref="V1155:V1218">IF(W1155="","",W1155&amp;" &lt;&lt;&lt;&gt;&gt;&gt; "&amp;X1155)</f>
      </c>
    </row>
    <row r="1156" ht="15">
      <c r="V1156">
        <f t="shared" si="18"/>
      </c>
    </row>
    <row r="1157" ht="15">
      <c r="V1157">
        <f t="shared" si="18"/>
      </c>
    </row>
    <row r="1158" ht="15">
      <c r="V1158">
        <f t="shared" si="18"/>
      </c>
    </row>
    <row r="1159" ht="15">
      <c r="V1159">
        <f t="shared" si="18"/>
      </c>
    </row>
    <row r="1160" ht="15">
      <c r="V1160">
        <f t="shared" si="18"/>
      </c>
    </row>
    <row r="1161" ht="15">
      <c r="V1161">
        <f t="shared" si="18"/>
      </c>
    </row>
    <row r="1162" ht="15">
      <c r="V1162">
        <f t="shared" si="18"/>
      </c>
    </row>
    <row r="1163" ht="15">
      <c r="V1163">
        <f t="shared" si="18"/>
      </c>
    </row>
    <row r="1164" ht="15">
      <c r="V1164">
        <f t="shared" si="18"/>
      </c>
    </row>
    <row r="1165" ht="15">
      <c r="V1165">
        <f t="shared" si="18"/>
      </c>
    </row>
    <row r="1166" ht="15">
      <c r="V1166">
        <f t="shared" si="18"/>
      </c>
    </row>
    <row r="1167" ht="15">
      <c r="V1167">
        <f t="shared" si="18"/>
      </c>
    </row>
    <row r="1168" ht="15">
      <c r="V1168">
        <f t="shared" si="18"/>
      </c>
    </row>
    <row r="1169" ht="15">
      <c r="V1169">
        <f t="shared" si="18"/>
      </c>
    </row>
    <row r="1170" ht="15">
      <c r="V1170">
        <f t="shared" si="18"/>
      </c>
    </row>
    <row r="1171" ht="15">
      <c r="V1171">
        <f t="shared" si="18"/>
      </c>
    </row>
    <row r="1172" ht="15">
      <c r="V1172">
        <f t="shared" si="18"/>
      </c>
    </row>
    <row r="1173" ht="15">
      <c r="V1173">
        <f t="shared" si="18"/>
      </c>
    </row>
    <row r="1174" ht="15">
      <c r="V1174">
        <f t="shared" si="18"/>
      </c>
    </row>
    <row r="1175" ht="15">
      <c r="V1175">
        <f t="shared" si="18"/>
      </c>
    </row>
    <row r="1176" ht="15">
      <c r="V1176">
        <f t="shared" si="18"/>
      </c>
    </row>
    <row r="1177" ht="15">
      <c r="V1177">
        <f t="shared" si="18"/>
      </c>
    </row>
    <row r="1178" ht="15">
      <c r="V1178">
        <f t="shared" si="18"/>
      </c>
    </row>
    <row r="1179" ht="15">
      <c r="V1179">
        <f t="shared" si="18"/>
      </c>
    </row>
    <row r="1180" ht="15">
      <c r="V1180">
        <f t="shared" si="18"/>
      </c>
    </row>
    <row r="1181" ht="15">
      <c r="V1181">
        <f t="shared" si="18"/>
      </c>
    </row>
    <row r="1182" ht="15">
      <c r="V1182">
        <f t="shared" si="18"/>
      </c>
    </row>
    <row r="1183" ht="15">
      <c r="V1183">
        <f t="shared" si="18"/>
      </c>
    </row>
    <row r="1184" ht="15">
      <c r="V1184">
        <f t="shared" si="18"/>
      </c>
    </row>
    <row r="1185" ht="15">
      <c r="V1185">
        <f t="shared" si="18"/>
      </c>
    </row>
    <row r="1186" ht="15">
      <c r="V1186">
        <f t="shared" si="18"/>
      </c>
    </row>
    <row r="1187" ht="15">
      <c r="V1187">
        <f t="shared" si="18"/>
      </c>
    </row>
    <row r="1188" ht="15">
      <c r="V1188">
        <f t="shared" si="18"/>
      </c>
    </row>
    <row r="1189" ht="15">
      <c r="V1189">
        <f t="shared" si="18"/>
      </c>
    </row>
    <row r="1190" ht="15">
      <c r="V1190">
        <f t="shared" si="18"/>
      </c>
    </row>
    <row r="1191" ht="15">
      <c r="V1191">
        <f t="shared" si="18"/>
      </c>
    </row>
    <row r="1192" ht="15">
      <c r="V1192">
        <f t="shared" si="18"/>
      </c>
    </row>
    <row r="1193" ht="15">
      <c r="V1193">
        <f t="shared" si="18"/>
      </c>
    </row>
    <row r="1194" ht="15">
      <c r="V1194">
        <f t="shared" si="18"/>
      </c>
    </row>
    <row r="1195" ht="15">
      <c r="V1195">
        <f t="shared" si="18"/>
      </c>
    </row>
    <row r="1196" ht="15">
      <c r="V1196">
        <f t="shared" si="18"/>
      </c>
    </row>
    <row r="1197" ht="15">
      <c r="V1197">
        <f t="shared" si="18"/>
      </c>
    </row>
    <row r="1198" ht="15">
      <c r="V1198">
        <f t="shared" si="18"/>
      </c>
    </row>
    <row r="1199" ht="15">
      <c r="V1199">
        <f t="shared" si="18"/>
      </c>
    </row>
    <row r="1200" ht="15">
      <c r="V1200">
        <f t="shared" si="18"/>
      </c>
    </row>
    <row r="1201" ht="15">
      <c r="V1201">
        <f t="shared" si="18"/>
      </c>
    </row>
    <row r="1202" ht="15">
      <c r="V1202">
        <f t="shared" si="18"/>
      </c>
    </row>
    <row r="1203" ht="15">
      <c r="V1203">
        <f t="shared" si="18"/>
      </c>
    </row>
    <row r="1204" ht="15">
      <c r="V1204">
        <f t="shared" si="18"/>
      </c>
    </row>
    <row r="1205" ht="15">
      <c r="V1205">
        <f t="shared" si="18"/>
      </c>
    </row>
    <row r="1206" ht="15">
      <c r="V1206">
        <f t="shared" si="18"/>
      </c>
    </row>
    <row r="1207" ht="15">
      <c r="V1207">
        <f t="shared" si="18"/>
      </c>
    </row>
    <row r="1208" ht="15">
      <c r="V1208">
        <f t="shared" si="18"/>
      </c>
    </row>
    <row r="1209" ht="15">
      <c r="V1209">
        <f t="shared" si="18"/>
      </c>
    </row>
    <row r="1210" ht="15">
      <c r="V1210">
        <f t="shared" si="18"/>
      </c>
    </row>
    <row r="1211" ht="15">
      <c r="V1211">
        <f t="shared" si="18"/>
      </c>
    </row>
    <row r="1212" ht="15">
      <c r="V1212">
        <f t="shared" si="18"/>
      </c>
    </row>
    <row r="1213" ht="15">
      <c r="V1213">
        <f t="shared" si="18"/>
      </c>
    </row>
    <row r="1214" ht="15">
      <c r="V1214">
        <f t="shared" si="18"/>
      </c>
    </row>
    <row r="1215" ht="15">
      <c r="V1215">
        <f t="shared" si="18"/>
      </c>
    </row>
    <row r="1216" ht="15">
      <c r="V1216">
        <f t="shared" si="18"/>
      </c>
    </row>
    <row r="1217" ht="15">
      <c r="V1217">
        <f t="shared" si="18"/>
      </c>
    </row>
    <row r="1218" ht="15">
      <c r="V1218">
        <f t="shared" si="18"/>
      </c>
    </row>
    <row r="1219" ht="15">
      <c r="V1219">
        <f aca="true" t="shared" si="19" ref="V1219:V1282">IF(W1219="","",W1219&amp;" &lt;&lt;&lt;&gt;&gt;&gt; "&amp;X1219)</f>
      </c>
    </row>
    <row r="1220" ht="15">
      <c r="V1220">
        <f t="shared" si="19"/>
      </c>
    </row>
    <row r="1221" ht="15">
      <c r="V1221">
        <f t="shared" si="19"/>
      </c>
    </row>
    <row r="1222" ht="15">
      <c r="V1222">
        <f t="shared" si="19"/>
      </c>
    </row>
    <row r="1223" ht="15">
      <c r="V1223">
        <f t="shared" si="19"/>
      </c>
    </row>
    <row r="1224" ht="15">
      <c r="V1224">
        <f t="shared" si="19"/>
      </c>
    </row>
    <row r="1225" ht="15">
      <c r="V1225">
        <f t="shared" si="19"/>
      </c>
    </row>
    <row r="1226" ht="15">
      <c r="V1226">
        <f t="shared" si="19"/>
      </c>
    </row>
    <row r="1227" ht="15">
      <c r="V1227">
        <f t="shared" si="19"/>
      </c>
    </row>
    <row r="1228" ht="15">
      <c r="V1228">
        <f t="shared" si="19"/>
      </c>
    </row>
    <row r="1229" ht="15">
      <c r="V1229">
        <f t="shared" si="19"/>
      </c>
    </row>
    <row r="1230" ht="15">
      <c r="V1230">
        <f t="shared" si="19"/>
      </c>
    </row>
    <row r="1231" ht="15">
      <c r="V1231">
        <f t="shared" si="19"/>
      </c>
    </row>
    <row r="1232" ht="15">
      <c r="V1232">
        <f t="shared" si="19"/>
      </c>
    </row>
    <row r="1233" ht="15">
      <c r="V1233">
        <f t="shared" si="19"/>
      </c>
    </row>
    <row r="1234" ht="15">
      <c r="V1234">
        <f t="shared" si="19"/>
      </c>
    </row>
    <row r="1235" ht="15">
      <c r="V1235">
        <f t="shared" si="19"/>
      </c>
    </row>
    <row r="1236" ht="15">
      <c r="V1236">
        <f t="shared" si="19"/>
      </c>
    </row>
    <row r="1237" ht="15">
      <c r="V1237">
        <f t="shared" si="19"/>
      </c>
    </row>
    <row r="1238" ht="15">
      <c r="V1238">
        <f t="shared" si="19"/>
      </c>
    </row>
    <row r="1239" ht="15">
      <c r="V1239">
        <f t="shared" si="19"/>
      </c>
    </row>
    <row r="1240" ht="15">
      <c r="V1240">
        <f t="shared" si="19"/>
      </c>
    </row>
    <row r="1241" ht="15">
      <c r="V1241">
        <f t="shared" si="19"/>
      </c>
    </row>
    <row r="1242" ht="15">
      <c r="V1242">
        <f t="shared" si="19"/>
      </c>
    </row>
    <row r="1243" ht="15">
      <c r="V1243">
        <f t="shared" si="19"/>
      </c>
    </row>
    <row r="1244" ht="15">
      <c r="V1244">
        <f t="shared" si="19"/>
      </c>
    </row>
    <row r="1245" ht="15">
      <c r="V1245">
        <f t="shared" si="19"/>
      </c>
    </row>
    <row r="1246" ht="15">
      <c r="V1246">
        <f t="shared" si="19"/>
      </c>
    </row>
    <row r="1247" ht="15">
      <c r="V1247">
        <f t="shared" si="19"/>
      </c>
    </row>
    <row r="1248" ht="15">
      <c r="V1248">
        <f t="shared" si="19"/>
      </c>
    </row>
    <row r="1249" ht="15">
      <c r="V1249">
        <f t="shared" si="19"/>
      </c>
    </row>
    <row r="1250" ht="15">
      <c r="V1250">
        <f t="shared" si="19"/>
      </c>
    </row>
    <row r="1251" ht="15">
      <c r="V1251">
        <f t="shared" si="19"/>
      </c>
    </row>
    <row r="1252" ht="15">
      <c r="V1252">
        <f t="shared" si="19"/>
      </c>
    </row>
    <row r="1253" ht="15">
      <c r="V1253">
        <f t="shared" si="19"/>
      </c>
    </row>
    <row r="1254" ht="15">
      <c r="V1254">
        <f t="shared" si="19"/>
      </c>
    </row>
    <row r="1255" ht="15">
      <c r="V1255">
        <f t="shared" si="19"/>
      </c>
    </row>
    <row r="1256" ht="15">
      <c r="V1256">
        <f t="shared" si="19"/>
      </c>
    </row>
    <row r="1257" ht="15">
      <c r="V1257">
        <f t="shared" si="19"/>
      </c>
    </row>
    <row r="1258" ht="15">
      <c r="V1258">
        <f t="shared" si="19"/>
      </c>
    </row>
    <row r="1259" ht="15">
      <c r="V1259">
        <f t="shared" si="19"/>
      </c>
    </row>
    <row r="1260" ht="15">
      <c r="V1260">
        <f t="shared" si="19"/>
      </c>
    </row>
    <row r="1261" ht="15">
      <c r="V1261">
        <f t="shared" si="19"/>
      </c>
    </row>
    <row r="1262" ht="15">
      <c r="V1262">
        <f t="shared" si="19"/>
      </c>
    </row>
    <row r="1263" ht="15">
      <c r="V1263">
        <f t="shared" si="19"/>
      </c>
    </row>
    <row r="1264" ht="15">
      <c r="V1264">
        <f t="shared" si="19"/>
      </c>
    </row>
    <row r="1265" ht="15">
      <c r="V1265">
        <f t="shared" si="19"/>
      </c>
    </row>
    <row r="1266" ht="15">
      <c r="V1266">
        <f t="shared" si="19"/>
      </c>
    </row>
    <row r="1267" ht="15">
      <c r="V1267">
        <f t="shared" si="19"/>
      </c>
    </row>
    <row r="1268" ht="15">
      <c r="V1268">
        <f t="shared" si="19"/>
      </c>
    </row>
    <row r="1269" ht="15">
      <c r="V1269">
        <f t="shared" si="19"/>
      </c>
    </row>
    <row r="1270" ht="15">
      <c r="V1270">
        <f t="shared" si="19"/>
      </c>
    </row>
    <row r="1271" ht="15">
      <c r="V1271">
        <f t="shared" si="19"/>
      </c>
    </row>
    <row r="1272" ht="15">
      <c r="V1272">
        <f t="shared" si="19"/>
      </c>
    </row>
    <row r="1273" ht="15">
      <c r="V1273">
        <f t="shared" si="19"/>
      </c>
    </row>
    <row r="1274" ht="15">
      <c r="V1274">
        <f t="shared" si="19"/>
      </c>
    </row>
    <row r="1275" ht="15">
      <c r="V1275">
        <f t="shared" si="19"/>
      </c>
    </row>
    <row r="1276" ht="15">
      <c r="V1276">
        <f t="shared" si="19"/>
      </c>
    </row>
    <row r="1277" ht="15">
      <c r="V1277">
        <f t="shared" si="19"/>
      </c>
    </row>
    <row r="1278" ht="15">
      <c r="V1278">
        <f t="shared" si="19"/>
      </c>
    </row>
    <row r="1279" ht="15">
      <c r="V1279">
        <f t="shared" si="19"/>
      </c>
    </row>
    <row r="1280" ht="15">
      <c r="V1280">
        <f t="shared" si="19"/>
      </c>
    </row>
    <row r="1281" ht="15">
      <c r="V1281">
        <f t="shared" si="19"/>
      </c>
    </row>
    <row r="1282" ht="15">
      <c r="V1282">
        <f t="shared" si="19"/>
      </c>
    </row>
    <row r="1283" ht="15">
      <c r="V1283">
        <f aca="true" t="shared" si="20" ref="V1283:V1346">IF(W1283="","",W1283&amp;" &lt;&lt;&lt;&gt;&gt;&gt; "&amp;X1283)</f>
      </c>
    </row>
    <row r="1284" ht="15">
      <c r="V1284">
        <f t="shared" si="20"/>
      </c>
    </row>
    <row r="1285" ht="15">
      <c r="V1285">
        <f t="shared" si="20"/>
      </c>
    </row>
    <row r="1286" ht="15">
      <c r="V1286">
        <f t="shared" si="20"/>
      </c>
    </row>
    <row r="1287" ht="15">
      <c r="V1287">
        <f t="shared" si="20"/>
      </c>
    </row>
    <row r="1288" ht="15">
      <c r="V1288">
        <f t="shared" si="20"/>
      </c>
    </row>
    <row r="1289" ht="15">
      <c r="V1289">
        <f t="shared" si="20"/>
      </c>
    </row>
    <row r="1290" ht="15">
      <c r="V1290">
        <f t="shared" si="20"/>
      </c>
    </row>
    <row r="1291" ht="15">
      <c r="V1291">
        <f t="shared" si="20"/>
      </c>
    </row>
    <row r="1292" ht="15">
      <c r="V1292">
        <f t="shared" si="20"/>
      </c>
    </row>
    <row r="1293" ht="15">
      <c r="V1293">
        <f t="shared" si="20"/>
      </c>
    </row>
    <row r="1294" ht="15">
      <c r="V1294">
        <f t="shared" si="20"/>
      </c>
    </row>
    <row r="1295" ht="15">
      <c r="V1295">
        <f t="shared" si="20"/>
      </c>
    </row>
    <row r="1296" ht="15">
      <c r="V1296">
        <f t="shared" si="20"/>
      </c>
    </row>
    <row r="1297" ht="15">
      <c r="V1297">
        <f t="shared" si="20"/>
      </c>
    </row>
    <row r="1298" ht="15">
      <c r="V1298">
        <f t="shared" si="20"/>
      </c>
    </row>
    <row r="1299" ht="15">
      <c r="V1299">
        <f t="shared" si="20"/>
      </c>
    </row>
    <row r="1300" ht="15">
      <c r="V1300">
        <f t="shared" si="20"/>
      </c>
    </row>
    <row r="1301" ht="15">
      <c r="V1301">
        <f t="shared" si="20"/>
      </c>
    </row>
    <row r="1302" ht="15">
      <c r="V1302">
        <f t="shared" si="20"/>
      </c>
    </row>
    <row r="1303" ht="15">
      <c r="V1303">
        <f t="shared" si="20"/>
      </c>
    </row>
    <row r="1304" ht="15">
      <c r="V1304">
        <f t="shared" si="20"/>
      </c>
    </row>
    <row r="1305" ht="15">
      <c r="V1305">
        <f t="shared" si="20"/>
      </c>
    </row>
    <row r="1306" ht="15">
      <c r="V1306">
        <f t="shared" si="20"/>
      </c>
    </row>
    <row r="1307" ht="15">
      <c r="V1307">
        <f t="shared" si="20"/>
      </c>
    </row>
    <row r="1308" ht="15">
      <c r="V1308">
        <f t="shared" si="20"/>
      </c>
    </row>
    <row r="1309" ht="15">
      <c r="V1309">
        <f t="shared" si="20"/>
      </c>
    </row>
    <row r="1310" ht="15">
      <c r="V1310">
        <f t="shared" si="20"/>
      </c>
    </row>
    <row r="1311" ht="15">
      <c r="V1311">
        <f t="shared" si="20"/>
      </c>
    </row>
    <row r="1312" ht="15">
      <c r="V1312">
        <f t="shared" si="20"/>
      </c>
    </row>
    <row r="1313" ht="15">
      <c r="V1313">
        <f t="shared" si="20"/>
      </c>
    </row>
    <row r="1314" ht="15">
      <c r="V1314">
        <f t="shared" si="20"/>
      </c>
    </row>
    <row r="1315" ht="15">
      <c r="V1315">
        <f t="shared" si="20"/>
      </c>
    </row>
    <row r="1316" ht="15">
      <c r="V1316">
        <f t="shared" si="20"/>
      </c>
    </row>
    <row r="1317" ht="15">
      <c r="V1317">
        <f t="shared" si="20"/>
      </c>
    </row>
    <row r="1318" ht="15">
      <c r="V1318">
        <f t="shared" si="20"/>
      </c>
    </row>
    <row r="1319" ht="15">
      <c r="V1319">
        <f t="shared" si="20"/>
      </c>
    </row>
    <row r="1320" ht="15">
      <c r="V1320">
        <f t="shared" si="20"/>
      </c>
    </row>
    <row r="1321" ht="15">
      <c r="V1321">
        <f t="shared" si="20"/>
      </c>
    </row>
    <row r="1322" ht="15">
      <c r="V1322">
        <f t="shared" si="20"/>
      </c>
    </row>
    <row r="1323" ht="15">
      <c r="V1323">
        <f t="shared" si="20"/>
      </c>
    </row>
    <row r="1324" ht="15">
      <c r="V1324">
        <f t="shared" si="20"/>
      </c>
    </row>
    <row r="1325" ht="15">
      <c r="V1325">
        <f t="shared" si="20"/>
      </c>
    </row>
    <row r="1326" ht="15">
      <c r="V1326">
        <f t="shared" si="20"/>
      </c>
    </row>
    <row r="1327" ht="15">
      <c r="V1327">
        <f t="shared" si="20"/>
      </c>
    </row>
    <row r="1328" ht="15">
      <c r="V1328">
        <f t="shared" si="20"/>
      </c>
    </row>
    <row r="1329" ht="15">
      <c r="V1329">
        <f t="shared" si="20"/>
      </c>
    </row>
    <row r="1330" ht="15">
      <c r="V1330">
        <f t="shared" si="20"/>
      </c>
    </row>
    <row r="1331" ht="15">
      <c r="V1331">
        <f t="shared" si="20"/>
      </c>
    </row>
    <row r="1332" ht="15">
      <c r="V1332">
        <f t="shared" si="20"/>
      </c>
    </row>
    <row r="1333" ht="15">
      <c r="V1333">
        <f t="shared" si="20"/>
      </c>
    </row>
    <row r="1334" ht="15">
      <c r="V1334">
        <f t="shared" si="20"/>
      </c>
    </row>
    <row r="1335" ht="15">
      <c r="V1335">
        <f t="shared" si="20"/>
      </c>
    </row>
    <row r="1336" ht="15">
      <c r="V1336">
        <f t="shared" si="20"/>
      </c>
    </row>
    <row r="1337" ht="15">
      <c r="V1337">
        <f t="shared" si="20"/>
      </c>
    </row>
    <row r="1338" ht="15">
      <c r="V1338">
        <f t="shared" si="20"/>
      </c>
    </row>
    <row r="1339" ht="15">
      <c r="V1339">
        <f t="shared" si="20"/>
      </c>
    </row>
    <row r="1340" ht="15">
      <c r="V1340">
        <f t="shared" si="20"/>
      </c>
    </row>
    <row r="1341" ht="15">
      <c r="V1341">
        <f t="shared" si="20"/>
      </c>
    </row>
    <row r="1342" ht="15">
      <c r="V1342">
        <f t="shared" si="20"/>
      </c>
    </row>
    <row r="1343" ht="15">
      <c r="V1343">
        <f t="shared" si="20"/>
      </c>
    </row>
    <row r="1344" ht="15">
      <c r="V1344">
        <f t="shared" si="20"/>
      </c>
    </row>
    <row r="1345" ht="15">
      <c r="V1345">
        <f t="shared" si="20"/>
      </c>
    </row>
    <row r="1346" ht="15">
      <c r="V1346">
        <f t="shared" si="20"/>
      </c>
    </row>
    <row r="1347" ht="15">
      <c r="V1347">
        <f aca="true" t="shared" si="21" ref="V1347:V1410">IF(W1347="","",W1347&amp;" &lt;&lt;&lt;&gt;&gt;&gt; "&amp;X1347)</f>
      </c>
    </row>
    <row r="1348" ht="15">
      <c r="V1348">
        <f t="shared" si="21"/>
      </c>
    </row>
    <row r="1349" ht="15">
      <c r="V1349">
        <f t="shared" si="21"/>
      </c>
    </row>
    <row r="1350" ht="15">
      <c r="V1350">
        <f t="shared" si="21"/>
      </c>
    </row>
    <row r="1351" ht="15">
      <c r="V1351">
        <f t="shared" si="21"/>
      </c>
    </row>
    <row r="1352" ht="15">
      <c r="V1352">
        <f t="shared" si="21"/>
      </c>
    </row>
    <row r="1353" ht="15">
      <c r="V1353">
        <f t="shared" si="21"/>
      </c>
    </row>
    <row r="1354" ht="15">
      <c r="V1354">
        <f t="shared" si="21"/>
      </c>
    </row>
    <row r="1355" ht="15">
      <c r="V1355">
        <f t="shared" si="21"/>
      </c>
    </row>
    <row r="1356" ht="15">
      <c r="V1356">
        <f t="shared" si="21"/>
      </c>
    </row>
    <row r="1357" ht="15">
      <c r="V1357">
        <f t="shared" si="21"/>
      </c>
    </row>
    <row r="1358" ht="15">
      <c r="V1358">
        <f t="shared" si="21"/>
      </c>
    </row>
    <row r="1359" ht="15">
      <c r="V1359">
        <f t="shared" si="21"/>
      </c>
    </row>
    <row r="1360" ht="15">
      <c r="V1360">
        <f t="shared" si="21"/>
      </c>
    </row>
    <row r="1361" ht="15">
      <c r="V1361">
        <f t="shared" si="21"/>
      </c>
    </row>
    <row r="1362" ht="15">
      <c r="V1362">
        <f t="shared" si="21"/>
      </c>
    </row>
    <row r="1363" ht="15">
      <c r="V1363">
        <f t="shared" si="21"/>
      </c>
    </row>
    <row r="1364" ht="15">
      <c r="V1364">
        <f t="shared" si="21"/>
      </c>
    </row>
    <row r="1365" ht="15">
      <c r="V1365">
        <f t="shared" si="21"/>
      </c>
    </row>
    <row r="1366" ht="15">
      <c r="V1366">
        <f t="shared" si="21"/>
      </c>
    </row>
    <row r="1367" ht="15">
      <c r="V1367">
        <f t="shared" si="21"/>
      </c>
    </row>
    <row r="1368" ht="15">
      <c r="V1368">
        <f t="shared" si="21"/>
      </c>
    </row>
    <row r="1369" ht="15">
      <c r="V1369">
        <f t="shared" si="21"/>
      </c>
    </row>
    <row r="1370" ht="15">
      <c r="V1370">
        <f t="shared" si="21"/>
      </c>
    </row>
    <row r="1371" ht="15">
      <c r="V1371">
        <f t="shared" si="21"/>
      </c>
    </row>
    <row r="1372" ht="15">
      <c r="V1372">
        <f t="shared" si="21"/>
      </c>
    </row>
    <row r="1373" ht="15">
      <c r="V1373">
        <f t="shared" si="21"/>
      </c>
    </row>
    <row r="1374" ht="15">
      <c r="V1374">
        <f t="shared" si="21"/>
      </c>
    </row>
    <row r="1375" ht="15">
      <c r="V1375">
        <f t="shared" si="21"/>
      </c>
    </row>
    <row r="1376" ht="15">
      <c r="V1376">
        <f t="shared" si="21"/>
      </c>
    </row>
    <row r="1377" ht="15">
      <c r="V1377">
        <f t="shared" si="21"/>
      </c>
    </row>
    <row r="1378" ht="15">
      <c r="V1378">
        <f t="shared" si="21"/>
      </c>
    </row>
    <row r="1379" ht="15">
      <c r="V1379">
        <f t="shared" si="21"/>
      </c>
    </row>
    <row r="1380" ht="15">
      <c r="V1380">
        <f t="shared" si="21"/>
      </c>
    </row>
    <row r="1381" ht="15">
      <c r="V1381">
        <f t="shared" si="21"/>
      </c>
    </row>
    <row r="1382" ht="15">
      <c r="V1382">
        <f t="shared" si="21"/>
      </c>
    </row>
    <row r="1383" ht="15">
      <c r="V1383">
        <f t="shared" si="21"/>
      </c>
    </row>
    <row r="1384" ht="15">
      <c r="V1384">
        <f t="shared" si="21"/>
      </c>
    </row>
    <row r="1385" ht="15">
      <c r="V1385">
        <f t="shared" si="21"/>
      </c>
    </row>
    <row r="1386" ht="15">
      <c r="V1386">
        <f t="shared" si="21"/>
      </c>
    </row>
    <row r="1387" ht="15">
      <c r="V1387">
        <f t="shared" si="21"/>
      </c>
    </row>
    <row r="1388" ht="15">
      <c r="V1388">
        <f t="shared" si="21"/>
      </c>
    </row>
    <row r="1389" ht="15">
      <c r="V1389">
        <f t="shared" si="21"/>
      </c>
    </row>
    <row r="1390" ht="15">
      <c r="V1390">
        <f t="shared" si="21"/>
      </c>
    </row>
    <row r="1391" ht="15">
      <c r="V1391">
        <f t="shared" si="21"/>
      </c>
    </row>
    <row r="1392" ht="15">
      <c r="V1392">
        <f t="shared" si="21"/>
      </c>
    </row>
    <row r="1393" ht="15">
      <c r="V1393">
        <f t="shared" si="21"/>
      </c>
    </row>
    <row r="1394" ht="15">
      <c r="V1394">
        <f t="shared" si="21"/>
      </c>
    </row>
    <row r="1395" ht="15">
      <c r="V1395">
        <f t="shared" si="21"/>
      </c>
    </row>
    <row r="1396" ht="15">
      <c r="V1396">
        <f t="shared" si="21"/>
      </c>
    </row>
    <row r="1397" ht="15">
      <c r="V1397">
        <f t="shared" si="21"/>
      </c>
    </row>
    <row r="1398" ht="15">
      <c r="V1398">
        <f t="shared" si="21"/>
      </c>
    </row>
    <row r="1399" ht="15">
      <c r="V1399">
        <f t="shared" si="21"/>
      </c>
    </row>
    <row r="1400" ht="15">
      <c r="V1400">
        <f t="shared" si="21"/>
      </c>
    </row>
    <row r="1401" ht="15">
      <c r="V1401">
        <f t="shared" si="21"/>
      </c>
    </row>
    <row r="1402" ht="15">
      <c r="V1402">
        <f t="shared" si="21"/>
      </c>
    </row>
    <row r="1403" ht="15">
      <c r="V1403">
        <f t="shared" si="21"/>
      </c>
    </row>
    <row r="1404" ht="15">
      <c r="V1404">
        <f t="shared" si="21"/>
      </c>
    </row>
    <row r="1405" ht="15">
      <c r="V1405">
        <f t="shared" si="21"/>
      </c>
    </row>
    <row r="1406" ht="15">
      <c r="V1406">
        <f t="shared" si="21"/>
      </c>
    </row>
    <row r="1407" ht="15">
      <c r="V1407">
        <f t="shared" si="21"/>
      </c>
    </row>
    <row r="1408" ht="15">
      <c r="V1408">
        <f t="shared" si="21"/>
      </c>
    </row>
    <row r="1409" ht="15">
      <c r="V1409">
        <f t="shared" si="21"/>
      </c>
    </row>
    <row r="1410" ht="15">
      <c r="V1410">
        <f t="shared" si="21"/>
      </c>
    </row>
    <row r="1411" ht="15">
      <c r="V1411">
        <f aca="true" t="shared" si="22" ref="V1411:V1474">IF(W1411="","",W1411&amp;" &lt;&lt;&lt;&gt;&gt;&gt; "&amp;X1411)</f>
      </c>
    </row>
    <row r="1412" ht="15">
      <c r="V1412">
        <f t="shared" si="22"/>
      </c>
    </row>
    <row r="1413" ht="15">
      <c r="V1413">
        <f t="shared" si="22"/>
      </c>
    </row>
    <row r="1414" ht="15">
      <c r="V1414">
        <f t="shared" si="22"/>
      </c>
    </row>
    <row r="1415" ht="15">
      <c r="V1415">
        <f t="shared" si="22"/>
      </c>
    </row>
    <row r="1416" ht="15">
      <c r="V1416">
        <f t="shared" si="22"/>
      </c>
    </row>
    <row r="1417" ht="15">
      <c r="V1417">
        <f t="shared" si="22"/>
      </c>
    </row>
    <row r="1418" ht="15">
      <c r="V1418">
        <f t="shared" si="22"/>
      </c>
    </row>
    <row r="1419" ht="15">
      <c r="V1419">
        <f t="shared" si="22"/>
      </c>
    </row>
    <row r="1420" ht="15">
      <c r="V1420">
        <f t="shared" si="22"/>
      </c>
    </row>
    <row r="1421" ht="15">
      <c r="V1421">
        <f t="shared" si="22"/>
      </c>
    </row>
    <row r="1422" ht="15">
      <c r="V1422">
        <f t="shared" si="22"/>
      </c>
    </row>
    <row r="1423" ht="15">
      <c r="V1423">
        <f t="shared" si="22"/>
      </c>
    </row>
    <row r="1424" ht="15">
      <c r="V1424">
        <f t="shared" si="22"/>
      </c>
    </row>
    <row r="1425" ht="15">
      <c r="V1425">
        <f t="shared" si="22"/>
      </c>
    </row>
    <row r="1426" ht="15">
      <c r="V1426">
        <f t="shared" si="22"/>
      </c>
    </row>
    <row r="1427" ht="15">
      <c r="V1427">
        <f t="shared" si="22"/>
      </c>
    </row>
    <row r="1428" ht="15">
      <c r="V1428">
        <f t="shared" si="22"/>
      </c>
    </row>
    <row r="1429" ht="15">
      <c r="V1429">
        <f t="shared" si="22"/>
      </c>
    </row>
    <row r="1430" ht="15">
      <c r="V1430">
        <f t="shared" si="22"/>
      </c>
    </row>
    <row r="1431" ht="15">
      <c r="V1431">
        <f t="shared" si="22"/>
      </c>
    </row>
    <row r="1432" ht="15">
      <c r="V1432">
        <f t="shared" si="22"/>
      </c>
    </row>
    <row r="1433" ht="15">
      <c r="V1433">
        <f t="shared" si="22"/>
      </c>
    </row>
    <row r="1434" ht="15">
      <c r="V1434">
        <f t="shared" si="22"/>
      </c>
    </row>
    <row r="1435" ht="15">
      <c r="V1435">
        <f t="shared" si="22"/>
      </c>
    </row>
    <row r="1436" ht="15">
      <c r="V1436">
        <f t="shared" si="22"/>
      </c>
    </row>
    <row r="1437" ht="15">
      <c r="V1437">
        <f t="shared" si="22"/>
      </c>
    </row>
    <row r="1438" ht="15">
      <c r="V1438">
        <f t="shared" si="22"/>
      </c>
    </row>
    <row r="1439" ht="15">
      <c r="V1439">
        <f t="shared" si="22"/>
      </c>
    </row>
    <row r="1440" ht="15">
      <c r="V1440">
        <f t="shared" si="22"/>
      </c>
    </row>
    <row r="1441" ht="15">
      <c r="V1441">
        <f t="shared" si="22"/>
      </c>
    </row>
    <row r="1442" ht="15">
      <c r="V1442">
        <f t="shared" si="22"/>
      </c>
    </row>
    <row r="1443" ht="15">
      <c r="V1443">
        <f t="shared" si="22"/>
      </c>
    </row>
    <row r="1444" ht="15">
      <c r="V1444">
        <f t="shared" si="22"/>
      </c>
    </row>
    <row r="1445" ht="15">
      <c r="V1445">
        <f t="shared" si="22"/>
      </c>
    </row>
    <row r="1446" ht="15">
      <c r="V1446">
        <f t="shared" si="22"/>
      </c>
    </row>
    <row r="1447" ht="15">
      <c r="V1447">
        <f t="shared" si="22"/>
      </c>
    </row>
    <row r="1448" ht="15">
      <c r="V1448">
        <f t="shared" si="22"/>
      </c>
    </row>
    <row r="1449" ht="15">
      <c r="V1449">
        <f t="shared" si="22"/>
      </c>
    </row>
    <row r="1450" ht="15">
      <c r="V1450">
        <f t="shared" si="22"/>
      </c>
    </row>
    <row r="1451" ht="15">
      <c r="V1451">
        <f t="shared" si="22"/>
      </c>
    </row>
    <row r="1452" ht="15">
      <c r="V1452">
        <f t="shared" si="22"/>
      </c>
    </row>
    <row r="1453" ht="15">
      <c r="V1453">
        <f t="shared" si="22"/>
      </c>
    </row>
    <row r="1454" ht="15">
      <c r="V1454">
        <f t="shared" si="22"/>
      </c>
    </row>
    <row r="1455" ht="15">
      <c r="V1455">
        <f t="shared" si="22"/>
      </c>
    </row>
    <row r="1456" ht="15">
      <c r="V1456">
        <f t="shared" si="22"/>
      </c>
    </row>
    <row r="1457" ht="15">
      <c r="V1457">
        <f t="shared" si="22"/>
      </c>
    </row>
    <row r="1458" ht="15">
      <c r="V1458">
        <f t="shared" si="22"/>
      </c>
    </row>
    <row r="1459" ht="15">
      <c r="V1459">
        <f t="shared" si="22"/>
      </c>
    </row>
    <row r="1460" ht="15">
      <c r="V1460">
        <f t="shared" si="22"/>
      </c>
    </row>
    <row r="1461" ht="15">
      <c r="V1461">
        <f t="shared" si="22"/>
      </c>
    </row>
    <row r="1462" ht="15">
      <c r="V1462">
        <f t="shared" si="22"/>
      </c>
    </row>
    <row r="1463" ht="15">
      <c r="V1463">
        <f t="shared" si="22"/>
      </c>
    </row>
    <row r="1464" ht="15">
      <c r="V1464">
        <f t="shared" si="22"/>
      </c>
    </row>
    <row r="1465" ht="15">
      <c r="V1465">
        <f t="shared" si="22"/>
      </c>
    </row>
    <row r="1466" ht="15">
      <c r="V1466">
        <f t="shared" si="22"/>
      </c>
    </row>
    <row r="1467" ht="15">
      <c r="V1467">
        <f t="shared" si="22"/>
      </c>
    </row>
    <row r="1468" ht="15">
      <c r="V1468">
        <f t="shared" si="22"/>
      </c>
    </row>
    <row r="1469" ht="15">
      <c r="V1469">
        <f t="shared" si="22"/>
      </c>
    </row>
    <row r="1470" ht="15">
      <c r="V1470">
        <f t="shared" si="22"/>
      </c>
    </row>
    <row r="1471" ht="15">
      <c r="V1471">
        <f t="shared" si="22"/>
      </c>
    </row>
    <row r="1472" ht="15">
      <c r="V1472">
        <f t="shared" si="22"/>
      </c>
    </row>
    <row r="1473" ht="15">
      <c r="V1473">
        <f t="shared" si="22"/>
      </c>
    </row>
    <row r="1474" ht="15">
      <c r="V1474">
        <f t="shared" si="22"/>
      </c>
    </row>
    <row r="1475" ht="15">
      <c r="V1475">
        <f aca="true" t="shared" si="23" ref="V1475:V1538">IF(W1475="","",W1475&amp;" &lt;&lt;&lt;&gt;&gt;&gt; "&amp;X1475)</f>
      </c>
    </row>
    <row r="1476" ht="15">
      <c r="V1476">
        <f t="shared" si="23"/>
      </c>
    </row>
    <row r="1477" ht="15">
      <c r="V1477">
        <f t="shared" si="23"/>
      </c>
    </row>
    <row r="1478" ht="15">
      <c r="V1478">
        <f t="shared" si="23"/>
      </c>
    </row>
    <row r="1479" ht="15">
      <c r="V1479">
        <f t="shared" si="23"/>
      </c>
    </row>
    <row r="1480" ht="15">
      <c r="V1480">
        <f t="shared" si="23"/>
      </c>
    </row>
    <row r="1481" ht="15">
      <c r="V1481">
        <f t="shared" si="23"/>
      </c>
    </row>
    <row r="1482" ht="15">
      <c r="V1482">
        <f t="shared" si="23"/>
      </c>
    </row>
    <row r="1483" ht="15">
      <c r="V1483">
        <f t="shared" si="23"/>
      </c>
    </row>
    <row r="1484" ht="15">
      <c r="V1484">
        <f t="shared" si="23"/>
      </c>
    </row>
    <row r="1485" ht="15">
      <c r="V1485">
        <f t="shared" si="23"/>
      </c>
    </row>
    <row r="1486" ht="15">
      <c r="V1486">
        <f t="shared" si="23"/>
      </c>
    </row>
    <row r="1487" ht="15">
      <c r="V1487">
        <f t="shared" si="23"/>
      </c>
    </row>
    <row r="1488" ht="15">
      <c r="V1488">
        <f t="shared" si="23"/>
      </c>
    </row>
    <row r="1489" ht="15">
      <c r="V1489">
        <f t="shared" si="23"/>
      </c>
    </row>
    <row r="1490" ht="15">
      <c r="V1490">
        <f t="shared" si="23"/>
      </c>
    </row>
    <row r="1491" ht="15">
      <c r="V1491">
        <f t="shared" si="23"/>
      </c>
    </row>
    <row r="1492" ht="15">
      <c r="V1492">
        <f t="shared" si="23"/>
      </c>
    </row>
    <row r="1493" ht="15">
      <c r="V1493">
        <f t="shared" si="23"/>
      </c>
    </row>
    <row r="1494" ht="15">
      <c r="V1494">
        <f t="shared" si="23"/>
      </c>
    </row>
    <row r="1495" ht="15">
      <c r="V1495">
        <f t="shared" si="23"/>
      </c>
    </row>
    <row r="1496" ht="15">
      <c r="V1496">
        <f t="shared" si="23"/>
      </c>
    </row>
    <row r="1497" ht="15">
      <c r="V1497">
        <f t="shared" si="23"/>
      </c>
    </row>
    <row r="1498" ht="15">
      <c r="V1498">
        <f t="shared" si="23"/>
      </c>
    </row>
    <row r="1499" ht="15">
      <c r="V1499">
        <f t="shared" si="23"/>
      </c>
    </row>
    <row r="1500" ht="15">
      <c r="V1500">
        <f t="shared" si="23"/>
      </c>
    </row>
    <row r="1501" ht="15">
      <c r="V1501">
        <f t="shared" si="23"/>
      </c>
    </row>
    <row r="1502" ht="15">
      <c r="V1502">
        <f t="shared" si="23"/>
      </c>
    </row>
    <row r="1503" ht="15">
      <c r="V1503">
        <f t="shared" si="23"/>
      </c>
    </row>
    <row r="1504" ht="15">
      <c r="V1504">
        <f t="shared" si="23"/>
      </c>
    </row>
    <row r="1505" ht="15">
      <c r="V1505">
        <f t="shared" si="23"/>
      </c>
    </row>
    <row r="1506" ht="15">
      <c r="V1506">
        <f t="shared" si="23"/>
      </c>
    </row>
    <row r="1507" ht="15">
      <c r="V1507">
        <f t="shared" si="23"/>
      </c>
    </row>
    <row r="1508" ht="15">
      <c r="V1508">
        <f t="shared" si="23"/>
      </c>
    </row>
    <row r="1509" ht="15">
      <c r="V1509">
        <f t="shared" si="23"/>
      </c>
    </row>
    <row r="1510" ht="15">
      <c r="V1510">
        <f t="shared" si="23"/>
      </c>
    </row>
    <row r="1511" ht="15">
      <c r="V1511">
        <f t="shared" si="23"/>
      </c>
    </row>
    <row r="1512" ht="15">
      <c r="V1512">
        <f t="shared" si="23"/>
      </c>
    </row>
    <row r="1513" ht="15">
      <c r="V1513">
        <f t="shared" si="23"/>
      </c>
    </row>
    <row r="1514" ht="15">
      <c r="V1514">
        <f t="shared" si="23"/>
      </c>
    </row>
    <row r="1515" ht="15">
      <c r="V1515">
        <f t="shared" si="23"/>
      </c>
    </row>
    <row r="1516" ht="15">
      <c r="V1516">
        <f t="shared" si="23"/>
      </c>
    </row>
    <row r="1517" ht="15">
      <c r="V1517">
        <f t="shared" si="23"/>
      </c>
    </row>
    <row r="1518" ht="15">
      <c r="V1518">
        <f t="shared" si="23"/>
      </c>
    </row>
    <row r="1519" ht="15">
      <c r="V1519">
        <f t="shared" si="23"/>
      </c>
    </row>
    <row r="1520" ht="15">
      <c r="V1520">
        <f t="shared" si="23"/>
      </c>
    </row>
    <row r="1521" ht="15">
      <c r="V1521">
        <f t="shared" si="23"/>
      </c>
    </row>
    <row r="1522" ht="15">
      <c r="V1522">
        <f t="shared" si="23"/>
      </c>
    </row>
    <row r="1523" ht="15">
      <c r="V1523">
        <f t="shared" si="23"/>
      </c>
    </row>
    <row r="1524" ht="15">
      <c r="V1524">
        <f t="shared" si="23"/>
      </c>
    </row>
    <row r="1525" ht="15">
      <c r="V1525">
        <f t="shared" si="23"/>
      </c>
    </row>
    <row r="1526" ht="15">
      <c r="V1526">
        <f t="shared" si="23"/>
      </c>
    </row>
    <row r="1527" ht="15">
      <c r="V1527">
        <f t="shared" si="23"/>
      </c>
    </row>
    <row r="1528" ht="15">
      <c r="V1528">
        <f t="shared" si="23"/>
      </c>
    </row>
    <row r="1529" ht="15">
      <c r="V1529">
        <f t="shared" si="23"/>
      </c>
    </row>
    <row r="1530" ht="15">
      <c r="V1530">
        <f t="shared" si="23"/>
      </c>
    </row>
    <row r="1531" ht="15">
      <c r="V1531">
        <f t="shared" si="23"/>
      </c>
    </row>
    <row r="1532" ht="15">
      <c r="V1532">
        <f t="shared" si="23"/>
      </c>
    </row>
    <row r="1533" ht="15">
      <c r="V1533">
        <f t="shared" si="23"/>
      </c>
    </row>
    <row r="1534" ht="15">
      <c r="V1534">
        <f t="shared" si="23"/>
      </c>
    </row>
    <row r="1535" ht="15">
      <c r="V1535">
        <f t="shared" si="23"/>
      </c>
    </row>
    <row r="1536" ht="15">
      <c r="V1536">
        <f t="shared" si="23"/>
      </c>
    </row>
    <row r="1537" ht="15">
      <c r="V1537">
        <f t="shared" si="23"/>
      </c>
    </row>
    <row r="1538" ht="15">
      <c r="V1538">
        <f t="shared" si="23"/>
      </c>
    </row>
    <row r="1539" ht="15">
      <c r="V1539">
        <f aca="true" t="shared" si="24" ref="V1539:V1602">IF(W1539="","",W1539&amp;" &lt;&lt;&lt;&gt;&gt;&gt; "&amp;X1539)</f>
      </c>
    </row>
    <row r="1540" ht="15">
      <c r="V1540">
        <f t="shared" si="24"/>
      </c>
    </row>
    <row r="1541" ht="15">
      <c r="V1541">
        <f t="shared" si="24"/>
      </c>
    </row>
    <row r="1542" ht="15">
      <c r="V1542">
        <f t="shared" si="24"/>
      </c>
    </row>
    <row r="1543" ht="15">
      <c r="V1543">
        <f t="shared" si="24"/>
      </c>
    </row>
    <row r="1544" ht="15">
      <c r="V1544">
        <f t="shared" si="24"/>
      </c>
    </row>
    <row r="1545" ht="15">
      <c r="V1545">
        <f t="shared" si="24"/>
      </c>
    </row>
    <row r="1546" ht="15">
      <c r="V1546">
        <f t="shared" si="24"/>
      </c>
    </row>
    <row r="1547" ht="15">
      <c r="V1547">
        <f t="shared" si="24"/>
      </c>
    </row>
    <row r="1548" ht="15">
      <c r="V1548">
        <f t="shared" si="24"/>
      </c>
    </row>
    <row r="1549" ht="15">
      <c r="V1549">
        <f t="shared" si="24"/>
      </c>
    </row>
    <row r="1550" ht="15">
      <c r="V1550">
        <f t="shared" si="24"/>
      </c>
    </row>
    <row r="1551" ht="15">
      <c r="V1551">
        <f t="shared" si="24"/>
      </c>
    </row>
    <row r="1552" ht="15">
      <c r="V1552">
        <f t="shared" si="24"/>
      </c>
    </row>
    <row r="1553" ht="15">
      <c r="V1553">
        <f t="shared" si="24"/>
      </c>
    </row>
    <row r="1554" ht="15">
      <c r="V1554">
        <f t="shared" si="24"/>
      </c>
    </row>
    <row r="1555" ht="15">
      <c r="V1555">
        <f t="shared" si="24"/>
      </c>
    </row>
    <row r="1556" ht="15">
      <c r="V1556">
        <f t="shared" si="24"/>
      </c>
    </row>
    <row r="1557" ht="15">
      <c r="V1557">
        <f t="shared" si="24"/>
      </c>
    </row>
    <row r="1558" ht="15">
      <c r="V1558">
        <f t="shared" si="24"/>
      </c>
    </row>
    <row r="1559" ht="15">
      <c r="V1559">
        <f t="shared" si="24"/>
      </c>
    </row>
    <row r="1560" ht="15">
      <c r="V1560">
        <f t="shared" si="24"/>
      </c>
    </row>
    <row r="1561" ht="15">
      <c r="V1561">
        <f t="shared" si="24"/>
      </c>
    </row>
    <row r="1562" ht="15">
      <c r="V1562">
        <f t="shared" si="24"/>
      </c>
    </row>
    <row r="1563" ht="15">
      <c r="V1563">
        <f t="shared" si="24"/>
      </c>
    </row>
    <row r="1564" ht="15">
      <c r="V1564">
        <f t="shared" si="24"/>
      </c>
    </row>
    <row r="1565" ht="15">
      <c r="V1565">
        <f t="shared" si="24"/>
      </c>
    </row>
    <row r="1566" ht="15">
      <c r="V1566">
        <f t="shared" si="24"/>
      </c>
    </row>
    <row r="1567" ht="15">
      <c r="V1567">
        <f t="shared" si="24"/>
      </c>
    </row>
    <row r="1568" ht="15">
      <c r="V1568">
        <f t="shared" si="24"/>
      </c>
    </row>
    <row r="1569" ht="15">
      <c r="V1569">
        <f t="shared" si="24"/>
      </c>
    </row>
    <row r="1570" ht="15">
      <c r="V1570">
        <f t="shared" si="24"/>
      </c>
    </row>
    <row r="1571" ht="15">
      <c r="V1571">
        <f t="shared" si="24"/>
      </c>
    </row>
    <row r="1572" ht="15">
      <c r="V1572">
        <f t="shared" si="24"/>
      </c>
    </row>
    <row r="1573" ht="15">
      <c r="V1573">
        <f t="shared" si="24"/>
      </c>
    </row>
    <row r="1574" ht="15">
      <c r="V1574">
        <f t="shared" si="24"/>
      </c>
    </row>
    <row r="1575" ht="15">
      <c r="V1575">
        <f t="shared" si="24"/>
      </c>
    </row>
    <row r="1576" ht="15">
      <c r="V1576">
        <f t="shared" si="24"/>
      </c>
    </row>
    <row r="1577" ht="15">
      <c r="V1577">
        <f t="shared" si="24"/>
      </c>
    </row>
    <row r="1578" ht="15">
      <c r="V1578">
        <f t="shared" si="24"/>
      </c>
    </row>
    <row r="1579" ht="15">
      <c r="V1579">
        <f t="shared" si="24"/>
      </c>
    </row>
    <row r="1580" ht="15">
      <c r="V1580">
        <f t="shared" si="24"/>
      </c>
    </row>
    <row r="1581" ht="15">
      <c r="V1581">
        <f t="shared" si="24"/>
      </c>
    </row>
    <row r="1582" ht="15">
      <c r="V1582">
        <f t="shared" si="24"/>
      </c>
    </row>
    <row r="1583" ht="15">
      <c r="V1583">
        <f t="shared" si="24"/>
      </c>
    </row>
    <row r="1584" ht="15">
      <c r="V1584">
        <f t="shared" si="24"/>
      </c>
    </row>
    <row r="1585" ht="15">
      <c r="V1585">
        <f t="shared" si="24"/>
      </c>
    </row>
    <row r="1586" ht="15">
      <c r="V1586">
        <f t="shared" si="24"/>
      </c>
    </row>
    <row r="1587" ht="15">
      <c r="V1587">
        <f t="shared" si="24"/>
      </c>
    </row>
    <row r="1588" ht="15">
      <c r="V1588">
        <f t="shared" si="24"/>
      </c>
    </row>
    <row r="1589" ht="15">
      <c r="V1589">
        <f t="shared" si="24"/>
      </c>
    </row>
    <row r="1590" ht="15">
      <c r="V1590">
        <f t="shared" si="24"/>
      </c>
    </row>
    <row r="1591" ht="15">
      <c r="V1591">
        <f t="shared" si="24"/>
      </c>
    </row>
    <row r="1592" ht="15">
      <c r="V1592">
        <f t="shared" si="24"/>
      </c>
    </row>
    <row r="1593" ht="15">
      <c r="V1593">
        <f t="shared" si="24"/>
      </c>
    </row>
    <row r="1594" ht="15">
      <c r="V1594">
        <f t="shared" si="24"/>
      </c>
    </row>
    <row r="1595" ht="15">
      <c r="V1595">
        <f t="shared" si="24"/>
      </c>
    </row>
    <row r="1596" ht="15">
      <c r="V1596">
        <f t="shared" si="24"/>
      </c>
    </row>
    <row r="1597" ht="15">
      <c r="V1597">
        <f t="shared" si="24"/>
      </c>
    </row>
    <row r="1598" ht="15">
      <c r="V1598">
        <f t="shared" si="24"/>
      </c>
    </row>
    <row r="1599" ht="15">
      <c r="V1599">
        <f t="shared" si="24"/>
      </c>
    </row>
    <row r="1600" ht="15">
      <c r="V1600">
        <f t="shared" si="24"/>
      </c>
    </row>
    <row r="1601" ht="15">
      <c r="V1601">
        <f t="shared" si="24"/>
      </c>
    </row>
    <row r="1602" ht="15">
      <c r="V1602">
        <f t="shared" si="24"/>
      </c>
    </row>
    <row r="1603" ht="15">
      <c r="V1603">
        <f aca="true" t="shared" si="25" ref="V1603:V1666">IF(W1603="","",W1603&amp;" &lt;&lt;&lt;&gt;&gt;&gt; "&amp;X1603)</f>
      </c>
    </row>
    <row r="1604" ht="15">
      <c r="V1604">
        <f t="shared" si="25"/>
      </c>
    </row>
    <row r="1605" ht="15">
      <c r="V1605">
        <f t="shared" si="25"/>
      </c>
    </row>
    <row r="1606" ht="15">
      <c r="V1606">
        <f t="shared" si="25"/>
      </c>
    </row>
    <row r="1607" ht="15">
      <c r="V1607">
        <f t="shared" si="25"/>
      </c>
    </row>
    <row r="1608" ht="15">
      <c r="V1608">
        <f t="shared" si="25"/>
      </c>
    </row>
    <row r="1609" ht="15">
      <c r="V1609">
        <f t="shared" si="25"/>
      </c>
    </row>
    <row r="1610" ht="15">
      <c r="V1610">
        <f t="shared" si="25"/>
      </c>
    </row>
    <row r="1611" ht="15">
      <c r="V1611">
        <f t="shared" si="25"/>
      </c>
    </row>
    <row r="1612" ht="15">
      <c r="V1612">
        <f t="shared" si="25"/>
      </c>
    </row>
    <row r="1613" ht="15">
      <c r="V1613">
        <f t="shared" si="25"/>
      </c>
    </row>
    <row r="1614" ht="15">
      <c r="V1614">
        <f t="shared" si="25"/>
      </c>
    </row>
    <row r="1615" ht="15">
      <c r="V1615">
        <f t="shared" si="25"/>
      </c>
    </row>
    <row r="1616" ht="15">
      <c r="V1616">
        <f t="shared" si="25"/>
      </c>
    </row>
    <row r="1617" ht="15">
      <c r="V1617">
        <f t="shared" si="25"/>
      </c>
    </row>
    <row r="1618" ht="15">
      <c r="V1618">
        <f t="shared" si="25"/>
      </c>
    </row>
    <row r="1619" ht="15">
      <c r="V1619">
        <f t="shared" si="25"/>
      </c>
    </row>
    <row r="1620" ht="15">
      <c r="V1620">
        <f t="shared" si="25"/>
      </c>
    </row>
    <row r="1621" ht="15">
      <c r="V1621">
        <f t="shared" si="25"/>
      </c>
    </row>
    <row r="1622" ht="15">
      <c r="V1622">
        <f t="shared" si="25"/>
      </c>
    </row>
    <row r="1623" ht="15">
      <c r="V1623">
        <f t="shared" si="25"/>
      </c>
    </row>
    <row r="1624" ht="15">
      <c r="V1624">
        <f t="shared" si="25"/>
      </c>
    </row>
    <row r="1625" ht="15">
      <c r="V1625">
        <f t="shared" si="25"/>
      </c>
    </row>
    <row r="1626" ht="15">
      <c r="V1626">
        <f t="shared" si="25"/>
      </c>
    </row>
    <row r="1627" ht="15">
      <c r="V1627">
        <f t="shared" si="25"/>
      </c>
    </row>
    <row r="1628" ht="15">
      <c r="V1628">
        <f t="shared" si="25"/>
      </c>
    </row>
    <row r="1629" ht="15">
      <c r="V1629">
        <f t="shared" si="25"/>
      </c>
    </row>
    <row r="1630" ht="15">
      <c r="V1630">
        <f t="shared" si="25"/>
      </c>
    </row>
    <row r="1631" ht="15">
      <c r="V1631">
        <f t="shared" si="25"/>
      </c>
    </row>
    <row r="1632" ht="15">
      <c r="V1632">
        <f t="shared" si="25"/>
      </c>
    </row>
    <row r="1633" ht="15">
      <c r="V1633">
        <f t="shared" si="25"/>
      </c>
    </row>
    <row r="1634" ht="15">
      <c r="V1634">
        <f t="shared" si="25"/>
      </c>
    </row>
    <row r="1635" ht="15">
      <c r="V1635">
        <f t="shared" si="25"/>
      </c>
    </row>
    <row r="1636" ht="15">
      <c r="V1636">
        <f t="shared" si="25"/>
      </c>
    </row>
    <row r="1637" ht="15">
      <c r="V1637">
        <f t="shared" si="25"/>
      </c>
    </row>
    <row r="1638" ht="15">
      <c r="V1638">
        <f t="shared" si="25"/>
      </c>
    </row>
    <row r="1639" ht="15">
      <c r="V1639">
        <f t="shared" si="25"/>
      </c>
    </row>
    <row r="1640" ht="15">
      <c r="V1640">
        <f t="shared" si="25"/>
      </c>
    </row>
    <row r="1641" ht="15">
      <c r="V1641">
        <f t="shared" si="25"/>
      </c>
    </row>
    <row r="1642" ht="15">
      <c r="V1642">
        <f t="shared" si="25"/>
      </c>
    </row>
    <row r="1643" ht="15">
      <c r="V1643">
        <f t="shared" si="25"/>
      </c>
    </row>
    <row r="1644" ht="15">
      <c r="V1644">
        <f t="shared" si="25"/>
      </c>
    </row>
    <row r="1645" ht="15">
      <c r="V1645">
        <f t="shared" si="25"/>
      </c>
    </row>
    <row r="1646" ht="15">
      <c r="V1646">
        <f t="shared" si="25"/>
      </c>
    </row>
    <row r="1647" ht="15">
      <c r="V1647">
        <f t="shared" si="25"/>
      </c>
    </row>
    <row r="1648" ht="15">
      <c r="V1648">
        <f t="shared" si="25"/>
      </c>
    </row>
    <row r="1649" ht="15">
      <c r="V1649">
        <f t="shared" si="25"/>
      </c>
    </row>
    <row r="1650" ht="15">
      <c r="V1650">
        <f t="shared" si="25"/>
      </c>
    </row>
    <row r="1651" ht="15">
      <c r="V1651">
        <f t="shared" si="25"/>
      </c>
    </row>
    <row r="1652" ht="15">
      <c r="V1652">
        <f t="shared" si="25"/>
      </c>
    </row>
    <row r="1653" ht="15">
      <c r="V1653">
        <f t="shared" si="25"/>
      </c>
    </row>
    <row r="1654" ht="15">
      <c r="V1654">
        <f t="shared" si="25"/>
      </c>
    </row>
    <row r="1655" ht="15">
      <c r="V1655">
        <f t="shared" si="25"/>
      </c>
    </row>
    <row r="1656" ht="15">
      <c r="V1656">
        <f t="shared" si="25"/>
      </c>
    </row>
    <row r="1657" ht="15">
      <c r="V1657">
        <f t="shared" si="25"/>
      </c>
    </row>
    <row r="1658" ht="15">
      <c r="V1658">
        <f t="shared" si="25"/>
      </c>
    </row>
    <row r="1659" ht="15">
      <c r="V1659">
        <f t="shared" si="25"/>
      </c>
    </row>
    <row r="1660" ht="15">
      <c r="V1660">
        <f t="shared" si="25"/>
      </c>
    </row>
    <row r="1661" ht="15">
      <c r="V1661">
        <f t="shared" si="25"/>
      </c>
    </row>
    <row r="1662" ht="15">
      <c r="V1662">
        <f t="shared" si="25"/>
      </c>
    </row>
    <row r="1663" ht="15">
      <c r="V1663">
        <f t="shared" si="25"/>
      </c>
    </row>
    <row r="1664" ht="15">
      <c r="V1664">
        <f t="shared" si="25"/>
      </c>
    </row>
    <row r="1665" ht="15">
      <c r="V1665">
        <f t="shared" si="25"/>
      </c>
    </row>
    <row r="1666" ht="15">
      <c r="V1666">
        <f t="shared" si="25"/>
      </c>
    </row>
    <row r="1667" ht="15">
      <c r="V1667">
        <f aca="true" t="shared" si="26" ref="V1667:V1730">IF(W1667="","",W1667&amp;" &lt;&lt;&lt;&gt;&gt;&gt; "&amp;X1667)</f>
      </c>
    </row>
    <row r="1668" ht="15">
      <c r="V1668">
        <f t="shared" si="26"/>
      </c>
    </row>
    <row r="1669" ht="15">
      <c r="V1669">
        <f t="shared" si="26"/>
      </c>
    </row>
    <row r="1670" ht="15">
      <c r="V1670">
        <f t="shared" si="26"/>
      </c>
    </row>
    <row r="1671" ht="15">
      <c r="V1671">
        <f t="shared" si="26"/>
      </c>
    </row>
    <row r="1672" ht="15">
      <c r="V1672">
        <f t="shared" si="26"/>
      </c>
    </row>
    <row r="1673" ht="15">
      <c r="V1673">
        <f t="shared" si="26"/>
      </c>
    </row>
    <row r="1674" ht="15">
      <c r="V1674">
        <f t="shared" si="26"/>
      </c>
    </row>
    <row r="1675" ht="15">
      <c r="V1675">
        <f t="shared" si="26"/>
      </c>
    </row>
    <row r="1676" ht="15">
      <c r="V1676">
        <f t="shared" si="26"/>
      </c>
    </row>
    <row r="1677" ht="15">
      <c r="V1677">
        <f t="shared" si="26"/>
      </c>
    </row>
    <row r="1678" ht="15">
      <c r="V1678">
        <f t="shared" si="26"/>
      </c>
    </row>
    <row r="1679" ht="15">
      <c r="V1679">
        <f t="shared" si="26"/>
      </c>
    </row>
    <row r="1680" ht="15">
      <c r="V1680">
        <f t="shared" si="26"/>
      </c>
    </row>
    <row r="1681" ht="15">
      <c r="V1681">
        <f t="shared" si="26"/>
      </c>
    </row>
    <row r="1682" ht="15">
      <c r="V1682">
        <f t="shared" si="26"/>
      </c>
    </row>
    <row r="1683" ht="15">
      <c r="V1683">
        <f t="shared" si="26"/>
      </c>
    </row>
    <row r="1684" ht="15">
      <c r="V1684">
        <f t="shared" si="26"/>
      </c>
    </row>
    <row r="1685" ht="15">
      <c r="V1685">
        <f t="shared" si="26"/>
      </c>
    </row>
    <row r="1686" ht="15">
      <c r="V1686">
        <f t="shared" si="26"/>
      </c>
    </row>
    <row r="1687" ht="15">
      <c r="V1687">
        <f t="shared" si="26"/>
      </c>
    </row>
    <row r="1688" ht="15">
      <c r="V1688">
        <f t="shared" si="26"/>
      </c>
    </row>
    <row r="1689" ht="15">
      <c r="V1689">
        <f t="shared" si="26"/>
      </c>
    </row>
    <row r="1690" ht="15">
      <c r="V1690">
        <f t="shared" si="26"/>
      </c>
    </row>
    <row r="1691" ht="15">
      <c r="V1691">
        <f t="shared" si="26"/>
      </c>
    </row>
    <row r="1692" ht="15">
      <c r="V1692">
        <f t="shared" si="26"/>
      </c>
    </row>
    <row r="1693" ht="15">
      <c r="V1693">
        <f t="shared" si="26"/>
      </c>
    </row>
    <row r="1694" ht="15">
      <c r="V1694">
        <f t="shared" si="26"/>
      </c>
    </row>
    <row r="1695" ht="15">
      <c r="V1695">
        <f t="shared" si="26"/>
      </c>
    </row>
    <row r="1696" ht="15">
      <c r="V1696">
        <f t="shared" si="26"/>
      </c>
    </row>
    <row r="1697" ht="15">
      <c r="V1697">
        <f t="shared" si="26"/>
      </c>
    </row>
    <row r="1698" ht="15">
      <c r="V1698">
        <f t="shared" si="26"/>
      </c>
    </row>
    <row r="1699" ht="15">
      <c r="V1699">
        <f t="shared" si="26"/>
      </c>
    </row>
    <row r="1700" ht="15">
      <c r="V1700">
        <f t="shared" si="26"/>
      </c>
    </row>
    <row r="1701" ht="15">
      <c r="V1701">
        <f t="shared" si="26"/>
      </c>
    </row>
    <row r="1702" ht="15">
      <c r="V1702">
        <f t="shared" si="26"/>
      </c>
    </row>
    <row r="1703" ht="15">
      <c r="V1703">
        <f t="shared" si="26"/>
      </c>
    </row>
    <row r="1704" ht="15">
      <c r="V1704">
        <f t="shared" si="26"/>
      </c>
    </row>
    <row r="1705" ht="15">
      <c r="V1705">
        <f t="shared" si="26"/>
      </c>
    </row>
    <row r="1706" ht="15">
      <c r="V1706">
        <f t="shared" si="26"/>
      </c>
    </row>
    <row r="1707" ht="15">
      <c r="V1707">
        <f t="shared" si="26"/>
      </c>
    </row>
    <row r="1708" ht="15">
      <c r="V1708">
        <f t="shared" si="26"/>
      </c>
    </row>
    <row r="1709" ht="15">
      <c r="V1709">
        <f t="shared" si="26"/>
      </c>
    </row>
    <row r="1710" ht="15">
      <c r="V1710">
        <f t="shared" si="26"/>
      </c>
    </row>
    <row r="1711" ht="15">
      <c r="V1711">
        <f t="shared" si="26"/>
      </c>
    </row>
    <row r="1712" ht="15">
      <c r="V1712">
        <f t="shared" si="26"/>
      </c>
    </row>
    <row r="1713" ht="15">
      <c r="V1713">
        <f t="shared" si="26"/>
      </c>
    </row>
    <row r="1714" ht="15">
      <c r="V1714">
        <f t="shared" si="26"/>
      </c>
    </row>
    <row r="1715" ht="15">
      <c r="V1715">
        <f t="shared" si="26"/>
      </c>
    </row>
    <row r="1716" ht="15">
      <c r="V1716">
        <f t="shared" si="26"/>
      </c>
    </row>
    <row r="1717" ht="15">
      <c r="V1717">
        <f t="shared" si="26"/>
      </c>
    </row>
    <row r="1718" ht="15">
      <c r="V1718">
        <f t="shared" si="26"/>
      </c>
    </row>
    <row r="1719" ht="15">
      <c r="V1719">
        <f t="shared" si="26"/>
      </c>
    </row>
    <row r="1720" ht="15">
      <c r="V1720">
        <f t="shared" si="26"/>
      </c>
    </row>
    <row r="1721" ht="15">
      <c r="V1721">
        <f t="shared" si="26"/>
      </c>
    </row>
    <row r="1722" ht="15">
      <c r="V1722">
        <f t="shared" si="26"/>
      </c>
    </row>
    <row r="1723" ht="15">
      <c r="V1723">
        <f t="shared" si="26"/>
      </c>
    </row>
    <row r="1724" ht="15">
      <c r="V1724">
        <f t="shared" si="26"/>
      </c>
    </row>
    <row r="1725" ht="15">
      <c r="V1725">
        <f t="shared" si="26"/>
      </c>
    </row>
    <row r="1726" ht="15">
      <c r="V1726">
        <f t="shared" si="26"/>
      </c>
    </row>
    <row r="1727" ht="15">
      <c r="V1727">
        <f t="shared" si="26"/>
      </c>
    </row>
    <row r="1728" ht="15">
      <c r="V1728">
        <f t="shared" si="26"/>
      </c>
    </row>
    <row r="1729" ht="15">
      <c r="V1729">
        <f t="shared" si="26"/>
      </c>
    </row>
    <row r="1730" ht="15">
      <c r="V1730">
        <f t="shared" si="26"/>
      </c>
    </row>
    <row r="1731" ht="15">
      <c r="V1731">
        <f aca="true" t="shared" si="27" ref="V1731:V1794">IF(W1731="","",W1731&amp;" &lt;&lt;&lt;&gt;&gt;&gt; "&amp;X1731)</f>
      </c>
    </row>
    <row r="1732" ht="15">
      <c r="V1732">
        <f t="shared" si="27"/>
      </c>
    </row>
    <row r="1733" ht="15">
      <c r="V1733">
        <f t="shared" si="27"/>
      </c>
    </row>
    <row r="1734" ht="15">
      <c r="V1734">
        <f t="shared" si="27"/>
      </c>
    </row>
    <row r="1735" ht="15">
      <c r="V1735">
        <f t="shared" si="27"/>
      </c>
    </row>
    <row r="1736" ht="15">
      <c r="V1736">
        <f t="shared" si="27"/>
      </c>
    </row>
    <row r="1737" ht="15">
      <c r="V1737">
        <f t="shared" si="27"/>
      </c>
    </row>
    <row r="1738" ht="15">
      <c r="V1738">
        <f t="shared" si="27"/>
      </c>
    </row>
    <row r="1739" ht="15">
      <c r="V1739">
        <f t="shared" si="27"/>
      </c>
    </row>
    <row r="1740" ht="15">
      <c r="V1740">
        <f t="shared" si="27"/>
      </c>
    </row>
    <row r="1741" ht="15">
      <c r="V1741">
        <f t="shared" si="27"/>
      </c>
    </row>
    <row r="1742" ht="15">
      <c r="V1742">
        <f t="shared" si="27"/>
      </c>
    </row>
    <row r="1743" ht="15">
      <c r="V1743">
        <f t="shared" si="27"/>
      </c>
    </row>
    <row r="1744" ht="15">
      <c r="V1744">
        <f t="shared" si="27"/>
      </c>
    </row>
    <row r="1745" ht="15">
      <c r="V1745">
        <f t="shared" si="27"/>
      </c>
    </row>
    <row r="1746" ht="15">
      <c r="V1746">
        <f t="shared" si="27"/>
      </c>
    </row>
    <row r="1747" ht="15">
      <c r="V1747">
        <f t="shared" si="27"/>
      </c>
    </row>
    <row r="1748" ht="15">
      <c r="V1748">
        <f t="shared" si="27"/>
      </c>
    </row>
    <row r="1749" ht="15">
      <c r="V1749">
        <f t="shared" si="27"/>
      </c>
    </row>
    <row r="1750" ht="15">
      <c r="V1750">
        <f t="shared" si="27"/>
      </c>
    </row>
    <row r="1751" ht="15">
      <c r="V1751">
        <f t="shared" si="27"/>
      </c>
    </row>
    <row r="1752" ht="15">
      <c r="V1752">
        <f t="shared" si="27"/>
      </c>
    </row>
    <row r="1753" ht="15">
      <c r="V1753">
        <f t="shared" si="27"/>
      </c>
    </row>
    <row r="1754" ht="15">
      <c r="V1754">
        <f t="shared" si="27"/>
      </c>
    </row>
    <row r="1755" ht="15">
      <c r="V1755">
        <f t="shared" si="27"/>
      </c>
    </row>
    <row r="1756" ht="15">
      <c r="V1756">
        <f t="shared" si="27"/>
      </c>
    </row>
    <row r="1757" ht="15">
      <c r="V1757">
        <f t="shared" si="27"/>
      </c>
    </row>
    <row r="1758" ht="15">
      <c r="V1758">
        <f t="shared" si="27"/>
      </c>
    </row>
    <row r="1759" ht="15">
      <c r="V1759">
        <f t="shared" si="27"/>
      </c>
    </row>
    <row r="1760" ht="15">
      <c r="V1760">
        <f t="shared" si="27"/>
      </c>
    </row>
    <row r="1761" ht="15">
      <c r="V1761">
        <f t="shared" si="27"/>
      </c>
    </row>
    <row r="1762" ht="15">
      <c r="V1762">
        <f t="shared" si="27"/>
      </c>
    </row>
    <row r="1763" ht="15">
      <c r="V1763">
        <f t="shared" si="27"/>
      </c>
    </row>
    <row r="1764" ht="15">
      <c r="V1764">
        <f t="shared" si="27"/>
      </c>
    </row>
    <row r="1765" ht="15">
      <c r="V1765">
        <f t="shared" si="27"/>
      </c>
    </row>
    <row r="1766" ht="15">
      <c r="V1766">
        <f t="shared" si="27"/>
      </c>
    </row>
    <row r="1767" ht="15">
      <c r="V1767">
        <f t="shared" si="27"/>
      </c>
    </row>
    <row r="1768" ht="15">
      <c r="V1768">
        <f t="shared" si="27"/>
      </c>
    </row>
    <row r="1769" ht="15">
      <c r="V1769">
        <f t="shared" si="27"/>
      </c>
    </row>
    <row r="1770" ht="15">
      <c r="V1770">
        <f t="shared" si="27"/>
      </c>
    </row>
    <row r="1771" ht="15">
      <c r="V1771">
        <f t="shared" si="27"/>
      </c>
    </row>
    <row r="1772" ht="15">
      <c r="V1772">
        <f t="shared" si="27"/>
      </c>
    </row>
    <row r="1773" ht="15">
      <c r="V1773">
        <f t="shared" si="27"/>
      </c>
    </row>
    <row r="1774" ht="15">
      <c r="V1774">
        <f t="shared" si="27"/>
      </c>
    </row>
    <row r="1775" ht="15">
      <c r="V1775">
        <f t="shared" si="27"/>
      </c>
    </row>
    <row r="1776" ht="15">
      <c r="V1776">
        <f t="shared" si="27"/>
      </c>
    </row>
    <row r="1777" ht="15">
      <c r="V1777">
        <f t="shared" si="27"/>
      </c>
    </row>
    <row r="1778" ht="15">
      <c r="V1778">
        <f t="shared" si="27"/>
      </c>
    </row>
    <row r="1779" ht="15">
      <c r="V1779">
        <f t="shared" si="27"/>
      </c>
    </row>
    <row r="1780" ht="15">
      <c r="V1780">
        <f t="shared" si="27"/>
      </c>
    </row>
    <row r="1781" ht="15">
      <c r="V1781">
        <f t="shared" si="27"/>
      </c>
    </row>
    <row r="1782" ht="15">
      <c r="V1782">
        <f t="shared" si="27"/>
      </c>
    </row>
    <row r="1783" ht="15">
      <c r="V1783">
        <f t="shared" si="27"/>
      </c>
    </row>
    <row r="1784" ht="15">
      <c r="V1784">
        <f t="shared" si="27"/>
      </c>
    </row>
    <row r="1785" ht="15">
      <c r="V1785">
        <f t="shared" si="27"/>
      </c>
    </row>
    <row r="1786" ht="15">
      <c r="V1786">
        <f t="shared" si="27"/>
      </c>
    </row>
    <row r="1787" ht="15">
      <c r="V1787">
        <f t="shared" si="27"/>
      </c>
    </row>
    <row r="1788" ht="15">
      <c r="V1788">
        <f t="shared" si="27"/>
      </c>
    </row>
    <row r="1789" ht="15">
      <c r="V1789">
        <f t="shared" si="27"/>
      </c>
    </row>
    <row r="1790" ht="15">
      <c r="V1790">
        <f t="shared" si="27"/>
      </c>
    </row>
    <row r="1791" ht="15">
      <c r="V1791">
        <f t="shared" si="27"/>
      </c>
    </row>
    <row r="1792" ht="15">
      <c r="V1792">
        <f t="shared" si="27"/>
      </c>
    </row>
    <row r="1793" ht="15">
      <c r="V1793">
        <f t="shared" si="27"/>
      </c>
    </row>
    <row r="1794" ht="15">
      <c r="V1794">
        <f t="shared" si="27"/>
      </c>
    </row>
    <row r="1795" ht="15">
      <c r="V1795">
        <f aca="true" t="shared" si="28" ref="V1795:V1858">IF(W1795="","",W1795&amp;" &lt;&lt;&lt;&gt;&gt;&gt; "&amp;X1795)</f>
      </c>
    </row>
    <row r="1796" ht="15">
      <c r="V1796">
        <f t="shared" si="28"/>
      </c>
    </row>
    <row r="1797" ht="15">
      <c r="V1797">
        <f t="shared" si="28"/>
      </c>
    </row>
    <row r="1798" ht="15">
      <c r="V1798">
        <f t="shared" si="28"/>
      </c>
    </row>
    <row r="1799" ht="15">
      <c r="V1799">
        <f t="shared" si="28"/>
      </c>
    </row>
    <row r="1800" ht="15">
      <c r="V1800">
        <f t="shared" si="28"/>
      </c>
    </row>
    <row r="1801" ht="15">
      <c r="V1801">
        <f t="shared" si="28"/>
      </c>
    </row>
    <row r="1802" ht="15">
      <c r="V1802">
        <f t="shared" si="28"/>
      </c>
    </row>
    <row r="1803" ht="15">
      <c r="V1803">
        <f t="shared" si="28"/>
      </c>
    </row>
    <row r="1804" ht="15">
      <c r="V1804">
        <f t="shared" si="28"/>
      </c>
    </row>
    <row r="1805" ht="15">
      <c r="V1805">
        <f t="shared" si="28"/>
      </c>
    </row>
    <row r="1806" ht="15">
      <c r="V1806">
        <f t="shared" si="28"/>
      </c>
    </row>
    <row r="1807" ht="15">
      <c r="V1807">
        <f t="shared" si="28"/>
      </c>
    </row>
    <row r="1808" ht="15">
      <c r="V1808">
        <f t="shared" si="28"/>
      </c>
    </row>
    <row r="1809" ht="15">
      <c r="V1809">
        <f t="shared" si="28"/>
      </c>
    </row>
    <row r="1810" ht="15">
      <c r="V1810">
        <f t="shared" si="28"/>
      </c>
    </row>
    <row r="1811" ht="15">
      <c r="V1811">
        <f t="shared" si="28"/>
      </c>
    </row>
    <row r="1812" ht="15">
      <c r="V1812">
        <f t="shared" si="28"/>
      </c>
    </row>
    <row r="1813" ht="15">
      <c r="V1813">
        <f t="shared" si="28"/>
      </c>
    </row>
    <row r="1814" ht="15">
      <c r="V1814">
        <f t="shared" si="28"/>
      </c>
    </row>
    <row r="1815" ht="15">
      <c r="V1815">
        <f t="shared" si="28"/>
      </c>
    </row>
    <row r="1816" ht="15">
      <c r="V1816">
        <f t="shared" si="28"/>
      </c>
    </row>
    <row r="1817" ht="15">
      <c r="V1817">
        <f t="shared" si="28"/>
      </c>
    </row>
    <row r="1818" ht="15">
      <c r="V1818">
        <f t="shared" si="28"/>
      </c>
    </row>
    <row r="1819" ht="15">
      <c r="V1819">
        <f t="shared" si="28"/>
      </c>
    </row>
    <row r="1820" ht="15">
      <c r="V1820">
        <f t="shared" si="28"/>
      </c>
    </row>
    <row r="1821" ht="15">
      <c r="V1821">
        <f t="shared" si="28"/>
      </c>
    </row>
    <row r="1822" ht="15">
      <c r="V1822">
        <f t="shared" si="28"/>
      </c>
    </row>
    <row r="1823" ht="15">
      <c r="V1823">
        <f t="shared" si="28"/>
      </c>
    </row>
    <row r="1824" ht="15">
      <c r="V1824">
        <f t="shared" si="28"/>
      </c>
    </row>
    <row r="1825" ht="15">
      <c r="V1825">
        <f t="shared" si="28"/>
      </c>
    </row>
    <row r="1826" ht="15">
      <c r="V1826">
        <f t="shared" si="28"/>
      </c>
    </row>
    <row r="1827" ht="15">
      <c r="V1827">
        <f t="shared" si="28"/>
      </c>
    </row>
    <row r="1828" ht="15">
      <c r="V1828">
        <f t="shared" si="28"/>
      </c>
    </row>
    <row r="1829" ht="15">
      <c r="V1829">
        <f t="shared" si="28"/>
      </c>
    </row>
    <row r="1830" ht="15">
      <c r="V1830">
        <f t="shared" si="28"/>
      </c>
    </row>
    <row r="1831" ht="15">
      <c r="V1831">
        <f t="shared" si="28"/>
      </c>
    </row>
    <row r="1832" ht="15">
      <c r="V1832">
        <f t="shared" si="28"/>
      </c>
    </row>
    <row r="1833" ht="15">
      <c r="V1833">
        <f t="shared" si="28"/>
      </c>
    </row>
    <row r="1834" ht="15">
      <c r="V1834">
        <f t="shared" si="28"/>
      </c>
    </row>
    <row r="1835" ht="15">
      <c r="V1835">
        <f t="shared" si="28"/>
      </c>
    </row>
    <row r="1836" ht="15">
      <c r="V1836">
        <f t="shared" si="28"/>
      </c>
    </row>
    <row r="1837" ht="15">
      <c r="V1837">
        <f t="shared" si="28"/>
      </c>
    </row>
    <row r="1838" ht="15">
      <c r="V1838">
        <f t="shared" si="28"/>
      </c>
    </row>
    <row r="1839" ht="15">
      <c r="V1839">
        <f t="shared" si="28"/>
      </c>
    </row>
    <row r="1840" ht="15">
      <c r="V1840">
        <f t="shared" si="28"/>
      </c>
    </row>
    <row r="1841" ht="15">
      <c r="V1841">
        <f t="shared" si="28"/>
      </c>
    </row>
    <row r="1842" ht="15">
      <c r="V1842">
        <f t="shared" si="28"/>
      </c>
    </row>
    <row r="1843" ht="15">
      <c r="V1843">
        <f t="shared" si="28"/>
      </c>
    </row>
    <row r="1844" ht="15">
      <c r="V1844">
        <f t="shared" si="28"/>
      </c>
    </row>
    <row r="1845" ht="15">
      <c r="V1845">
        <f t="shared" si="28"/>
      </c>
    </row>
    <row r="1846" ht="15">
      <c r="V1846">
        <f t="shared" si="28"/>
      </c>
    </row>
    <row r="1847" ht="15">
      <c r="V1847">
        <f t="shared" si="28"/>
      </c>
    </row>
    <row r="1848" ht="15">
      <c r="V1848">
        <f t="shared" si="28"/>
      </c>
    </row>
    <row r="1849" ht="15">
      <c r="V1849">
        <f t="shared" si="28"/>
      </c>
    </row>
    <row r="1850" ht="15">
      <c r="V1850">
        <f t="shared" si="28"/>
      </c>
    </row>
    <row r="1851" ht="15">
      <c r="V1851">
        <f t="shared" si="28"/>
      </c>
    </row>
    <row r="1852" ht="15">
      <c r="V1852">
        <f t="shared" si="28"/>
      </c>
    </row>
    <row r="1853" ht="15">
      <c r="V1853">
        <f t="shared" si="28"/>
      </c>
    </row>
    <row r="1854" ht="15">
      <c r="V1854">
        <f t="shared" si="28"/>
      </c>
    </row>
    <row r="1855" ht="15">
      <c r="V1855">
        <f t="shared" si="28"/>
      </c>
    </row>
    <row r="1856" ht="15">
      <c r="V1856">
        <f t="shared" si="28"/>
      </c>
    </row>
    <row r="1857" ht="15">
      <c r="V1857">
        <f t="shared" si="28"/>
      </c>
    </row>
    <row r="1858" ht="15">
      <c r="V1858">
        <f t="shared" si="28"/>
      </c>
    </row>
    <row r="1859" ht="15">
      <c r="V1859">
        <f aca="true" t="shared" si="29" ref="V1859:V1922">IF(W1859="","",W1859&amp;" &lt;&lt;&lt;&gt;&gt;&gt; "&amp;X1859)</f>
      </c>
    </row>
    <row r="1860" ht="15">
      <c r="V1860">
        <f t="shared" si="29"/>
      </c>
    </row>
    <row r="1861" ht="15">
      <c r="V1861">
        <f t="shared" si="29"/>
      </c>
    </row>
    <row r="1862" ht="15">
      <c r="V1862">
        <f t="shared" si="29"/>
      </c>
    </row>
    <row r="1863" ht="15">
      <c r="V1863">
        <f t="shared" si="29"/>
      </c>
    </row>
    <row r="1864" ht="15">
      <c r="V1864">
        <f t="shared" si="29"/>
      </c>
    </row>
    <row r="1865" ht="15">
      <c r="V1865">
        <f t="shared" si="29"/>
      </c>
    </row>
    <row r="1866" ht="15">
      <c r="V1866">
        <f t="shared" si="29"/>
      </c>
    </row>
    <row r="1867" ht="15">
      <c r="V1867">
        <f t="shared" si="29"/>
      </c>
    </row>
    <row r="1868" ht="15">
      <c r="V1868">
        <f t="shared" si="29"/>
      </c>
    </row>
    <row r="1869" ht="15">
      <c r="V1869">
        <f t="shared" si="29"/>
      </c>
    </row>
    <row r="1870" ht="15">
      <c r="V1870">
        <f t="shared" si="29"/>
      </c>
    </row>
    <row r="1871" ht="15">
      <c r="V1871">
        <f t="shared" si="29"/>
      </c>
    </row>
    <row r="1872" ht="15">
      <c r="V1872">
        <f t="shared" si="29"/>
      </c>
    </row>
    <row r="1873" ht="15">
      <c r="V1873">
        <f t="shared" si="29"/>
      </c>
    </row>
    <row r="1874" ht="15">
      <c r="V1874">
        <f t="shared" si="29"/>
      </c>
    </row>
    <row r="1875" ht="15">
      <c r="V1875">
        <f t="shared" si="29"/>
      </c>
    </row>
    <row r="1876" ht="15">
      <c r="V1876">
        <f t="shared" si="29"/>
      </c>
    </row>
    <row r="1877" ht="15">
      <c r="V1877">
        <f t="shared" si="29"/>
      </c>
    </row>
    <row r="1878" ht="15">
      <c r="V1878">
        <f t="shared" si="29"/>
      </c>
    </row>
    <row r="1879" ht="15">
      <c r="V1879">
        <f t="shared" si="29"/>
      </c>
    </row>
    <row r="1880" ht="15">
      <c r="V1880">
        <f t="shared" si="29"/>
      </c>
    </row>
    <row r="1881" ht="15">
      <c r="V1881">
        <f t="shared" si="29"/>
      </c>
    </row>
    <row r="1882" ht="15">
      <c r="V1882">
        <f t="shared" si="29"/>
      </c>
    </row>
    <row r="1883" ht="15">
      <c r="V1883">
        <f t="shared" si="29"/>
      </c>
    </row>
    <row r="1884" ht="15">
      <c r="V1884">
        <f t="shared" si="29"/>
      </c>
    </row>
    <row r="1885" ht="15">
      <c r="V1885">
        <f t="shared" si="29"/>
      </c>
    </row>
    <row r="1886" ht="15">
      <c r="V1886">
        <f t="shared" si="29"/>
      </c>
    </row>
    <row r="1887" ht="15">
      <c r="V1887">
        <f t="shared" si="29"/>
      </c>
    </row>
    <row r="1888" ht="15">
      <c r="V1888">
        <f t="shared" si="29"/>
      </c>
    </row>
    <row r="1889" ht="15">
      <c r="V1889">
        <f t="shared" si="29"/>
      </c>
    </row>
    <row r="1890" ht="15">
      <c r="V1890">
        <f t="shared" si="29"/>
      </c>
    </row>
    <row r="1891" ht="15">
      <c r="V1891">
        <f t="shared" si="29"/>
      </c>
    </row>
    <row r="1892" ht="15">
      <c r="V1892">
        <f t="shared" si="29"/>
      </c>
    </row>
    <row r="1893" ht="15">
      <c r="V1893">
        <f t="shared" si="29"/>
      </c>
    </row>
    <row r="1894" ht="15">
      <c r="V1894">
        <f t="shared" si="29"/>
      </c>
    </row>
    <row r="1895" ht="15">
      <c r="V1895">
        <f t="shared" si="29"/>
      </c>
    </row>
    <row r="1896" ht="15">
      <c r="V1896">
        <f t="shared" si="29"/>
      </c>
    </row>
    <row r="1897" ht="15">
      <c r="V1897">
        <f t="shared" si="29"/>
      </c>
    </row>
    <row r="1898" ht="15">
      <c r="V1898">
        <f t="shared" si="29"/>
      </c>
    </row>
    <row r="1899" ht="15">
      <c r="V1899">
        <f t="shared" si="29"/>
      </c>
    </row>
    <row r="1900" ht="15">
      <c r="V1900">
        <f t="shared" si="29"/>
      </c>
    </row>
    <row r="1901" ht="15">
      <c r="V1901">
        <f t="shared" si="29"/>
      </c>
    </row>
    <row r="1902" ht="15">
      <c r="V1902">
        <f t="shared" si="29"/>
      </c>
    </row>
    <row r="1903" ht="15">
      <c r="V1903">
        <f t="shared" si="29"/>
      </c>
    </row>
    <row r="1904" ht="15">
      <c r="V1904">
        <f t="shared" si="29"/>
      </c>
    </row>
    <row r="1905" ht="15">
      <c r="V1905">
        <f t="shared" si="29"/>
      </c>
    </row>
    <row r="1906" ht="15">
      <c r="V1906">
        <f t="shared" si="29"/>
      </c>
    </row>
    <row r="1907" ht="15">
      <c r="V1907">
        <f t="shared" si="29"/>
      </c>
    </row>
    <row r="1908" ht="15">
      <c r="V1908">
        <f t="shared" si="29"/>
      </c>
    </row>
    <row r="1909" ht="15">
      <c r="V1909">
        <f t="shared" si="29"/>
      </c>
    </row>
    <row r="1910" ht="15">
      <c r="V1910">
        <f t="shared" si="29"/>
      </c>
    </row>
    <row r="1911" ht="15">
      <c r="V1911">
        <f t="shared" si="29"/>
      </c>
    </row>
    <row r="1912" ht="15">
      <c r="V1912">
        <f t="shared" si="29"/>
      </c>
    </row>
    <row r="1913" ht="15">
      <c r="V1913">
        <f t="shared" si="29"/>
      </c>
    </row>
    <row r="1914" ht="15">
      <c r="V1914">
        <f t="shared" si="29"/>
      </c>
    </row>
    <row r="1915" ht="15">
      <c r="V1915">
        <f t="shared" si="29"/>
      </c>
    </row>
    <row r="1916" ht="15">
      <c r="V1916">
        <f t="shared" si="29"/>
      </c>
    </row>
    <row r="1917" ht="15">
      <c r="V1917">
        <f t="shared" si="29"/>
      </c>
    </row>
    <row r="1918" ht="15">
      <c r="V1918">
        <f t="shared" si="29"/>
      </c>
    </row>
    <row r="1919" ht="15">
      <c r="V1919">
        <f t="shared" si="29"/>
      </c>
    </row>
    <row r="1920" ht="15">
      <c r="V1920">
        <f t="shared" si="29"/>
      </c>
    </row>
    <row r="1921" ht="15">
      <c r="V1921">
        <f t="shared" si="29"/>
      </c>
    </row>
    <row r="1922" ht="15">
      <c r="V1922">
        <f t="shared" si="29"/>
      </c>
    </row>
    <row r="1923" ht="15">
      <c r="V1923">
        <f aca="true" t="shared" si="30" ref="V1923:V1986">IF(W1923="","",W1923&amp;" &lt;&lt;&lt;&gt;&gt;&gt; "&amp;X1923)</f>
      </c>
    </row>
    <row r="1924" ht="15">
      <c r="V1924">
        <f t="shared" si="30"/>
      </c>
    </row>
    <row r="1925" ht="15">
      <c r="V1925">
        <f t="shared" si="30"/>
      </c>
    </row>
    <row r="1926" ht="15">
      <c r="V1926">
        <f t="shared" si="30"/>
      </c>
    </row>
    <row r="1927" ht="15">
      <c r="V1927">
        <f t="shared" si="30"/>
      </c>
    </row>
    <row r="1928" ht="15">
      <c r="V1928">
        <f t="shared" si="30"/>
      </c>
    </row>
    <row r="1929" ht="15">
      <c r="V1929">
        <f t="shared" si="30"/>
      </c>
    </row>
    <row r="1930" ht="15">
      <c r="V1930">
        <f t="shared" si="30"/>
      </c>
    </row>
    <row r="1931" ht="15">
      <c r="V1931">
        <f t="shared" si="30"/>
      </c>
    </row>
    <row r="1932" ht="15">
      <c r="V1932">
        <f t="shared" si="30"/>
      </c>
    </row>
    <row r="1933" ht="15">
      <c r="V1933">
        <f t="shared" si="30"/>
      </c>
    </row>
    <row r="1934" ht="15">
      <c r="V1934">
        <f t="shared" si="30"/>
      </c>
    </row>
    <row r="1935" ht="15">
      <c r="V1935">
        <f t="shared" si="30"/>
      </c>
    </row>
    <row r="1936" ht="15">
      <c r="V1936">
        <f t="shared" si="30"/>
      </c>
    </row>
    <row r="1937" ht="15">
      <c r="V1937">
        <f t="shared" si="30"/>
      </c>
    </row>
    <row r="1938" ht="15">
      <c r="V1938">
        <f t="shared" si="30"/>
      </c>
    </row>
    <row r="1939" ht="15">
      <c r="V1939">
        <f t="shared" si="30"/>
      </c>
    </row>
    <row r="1940" ht="15">
      <c r="V1940">
        <f t="shared" si="30"/>
      </c>
    </row>
    <row r="1941" ht="15">
      <c r="V1941">
        <f t="shared" si="30"/>
      </c>
    </row>
    <row r="1942" ht="15">
      <c r="V1942">
        <f t="shared" si="30"/>
      </c>
    </row>
    <row r="1943" ht="15">
      <c r="V1943">
        <f t="shared" si="30"/>
      </c>
    </row>
    <row r="1944" ht="15">
      <c r="V1944">
        <f t="shared" si="30"/>
      </c>
    </row>
    <row r="1945" ht="15">
      <c r="V1945">
        <f t="shared" si="30"/>
      </c>
    </row>
    <row r="1946" ht="15">
      <c r="V1946">
        <f t="shared" si="30"/>
      </c>
    </row>
    <row r="1947" ht="15">
      <c r="V1947">
        <f t="shared" si="30"/>
      </c>
    </row>
    <row r="1948" ht="15">
      <c r="V1948">
        <f t="shared" si="30"/>
      </c>
    </row>
    <row r="1949" ht="15">
      <c r="V1949">
        <f t="shared" si="30"/>
      </c>
    </row>
    <row r="1950" ht="15">
      <c r="V1950">
        <f t="shared" si="30"/>
      </c>
    </row>
    <row r="1951" ht="15">
      <c r="V1951">
        <f t="shared" si="30"/>
      </c>
    </row>
    <row r="1952" ht="15">
      <c r="V1952">
        <f t="shared" si="30"/>
      </c>
    </row>
    <row r="1953" ht="15">
      <c r="V1953">
        <f t="shared" si="30"/>
      </c>
    </row>
    <row r="1954" ht="15">
      <c r="V1954">
        <f t="shared" si="30"/>
      </c>
    </row>
    <row r="1955" ht="15">
      <c r="V1955">
        <f t="shared" si="30"/>
      </c>
    </row>
    <row r="1956" ht="15">
      <c r="V1956">
        <f t="shared" si="30"/>
      </c>
    </row>
    <row r="1957" ht="15">
      <c r="V1957">
        <f t="shared" si="30"/>
      </c>
    </row>
    <row r="1958" ht="15">
      <c r="V1958">
        <f t="shared" si="30"/>
      </c>
    </row>
    <row r="1959" ht="15">
      <c r="V1959">
        <f t="shared" si="30"/>
      </c>
    </row>
    <row r="1960" ht="15">
      <c r="V1960">
        <f t="shared" si="30"/>
      </c>
    </row>
    <row r="1961" ht="15">
      <c r="V1961">
        <f t="shared" si="30"/>
      </c>
    </row>
    <row r="1962" ht="15">
      <c r="V1962">
        <f t="shared" si="30"/>
      </c>
    </row>
    <row r="1963" ht="15">
      <c r="V1963">
        <f t="shared" si="30"/>
      </c>
    </row>
    <row r="1964" ht="15">
      <c r="V1964">
        <f t="shared" si="30"/>
      </c>
    </row>
    <row r="1965" ht="15">
      <c r="V1965">
        <f t="shared" si="30"/>
      </c>
    </row>
    <row r="1966" ht="15">
      <c r="V1966">
        <f t="shared" si="30"/>
      </c>
    </row>
    <row r="1967" ht="15">
      <c r="V1967">
        <f t="shared" si="30"/>
      </c>
    </row>
    <row r="1968" ht="15">
      <c r="V1968">
        <f t="shared" si="30"/>
      </c>
    </row>
    <row r="1969" ht="15">
      <c r="V1969">
        <f t="shared" si="30"/>
      </c>
    </row>
    <row r="1970" ht="15">
      <c r="V1970">
        <f t="shared" si="30"/>
      </c>
    </row>
    <row r="1971" ht="15">
      <c r="V1971">
        <f t="shared" si="30"/>
      </c>
    </row>
    <row r="1972" ht="15">
      <c r="V1972">
        <f t="shared" si="30"/>
      </c>
    </row>
    <row r="1973" ht="15">
      <c r="V1973">
        <f t="shared" si="30"/>
      </c>
    </row>
    <row r="1974" ht="15">
      <c r="V1974">
        <f t="shared" si="30"/>
      </c>
    </row>
    <row r="1975" ht="15">
      <c r="V1975">
        <f t="shared" si="30"/>
      </c>
    </row>
    <row r="1976" ht="15">
      <c r="V1976">
        <f t="shared" si="30"/>
      </c>
    </row>
    <row r="1977" ht="15">
      <c r="V1977">
        <f t="shared" si="30"/>
      </c>
    </row>
    <row r="1978" ht="15">
      <c r="V1978">
        <f t="shared" si="30"/>
      </c>
    </row>
    <row r="1979" ht="15">
      <c r="V1979">
        <f t="shared" si="30"/>
      </c>
    </row>
    <row r="1980" ht="15">
      <c r="V1980">
        <f t="shared" si="30"/>
      </c>
    </row>
    <row r="1981" ht="15">
      <c r="V1981">
        <f t="shared" si="30"/>
      </c>
    </row>
    <row r="1982" ht="15">
      <c r="V1982">
        <f t="shared" si="30"/>
      </c>
    </row>
    <row r="1983" ht="15">
      <c r="V1983">
        <f t="shared" si="30"/>
      </c>
    </row>
    <row r="1984" ht="15">
      <c r="V1984">
        <f t="shared" si="30"/>
      </c>
    </row>
    <row r="1985" ht="15">
      <c r="V1985">
        <f t="shared" si="30"/>
      </c>
    </row>
    <row r="1986" ht="15">
      <c r="V1986">
        <f t="shared" si="30"/>
      </c>
    </row>
    <row r="1987" ht="15">
      <c r="V1987">
        <f aca="true" t="shared" si="31" ref="V1987:V2001">IF(W1987="","",W1987&amp;" &lt;&lt;&lt;&gt;&gt;&gt; "&amp;X1987)</f>
      </c>
    </row>
    <row r="1988" ht="15">
      <c r="V1988">
        <f t="shared" si="31"/>
      </c>
    </row>
    <row r="1989" ht="15">
      <c r="V1989">
        <f t="shared" si="31"/>
      </c>
    </row>
    <row r="1990" ht="15">
      <c r="V1990">
        <f t="shared" si="31"/>
      </c>
    </row>
    <row r="1991" ht="15">
      <c r="V1991">
        <f t="shared" si="31"/>
      </c>
    </row>
    <row r="1992" ht="15">
      <c r="V1992">
        <f t="shared" si="31"/>
      </c>
    </row>
    <row r="1993" ht="15">
      <c r="V1993">
        <f t="shared" si="31"/>
      </c>
    </row>
    <row r="1994" ht="15">
      <c r="V1994">
        <f t="shared" si="31"/>
      </c>
    </row>
    <row r="1995" ht="15">
      <c r="V1995">
        <f t="shared" si="31"/>
      </c>
    </row>
    <row r="1996" ht="15">
      <c r="V1996">
        <f t="shared" si="31"/>
      </c>
    </row>
    <row r="1997" ht="15">
      <c r="V1997">
        <f t="shared" si="31"/>
      </c>
    </row>
    <row r="1998" ht="15">
      <c r="V1998">
        <f t="shared" si="31"/>
      </c>
    </row>
    <row r="1999" ht="15">
      <c r="V1999">
        <f t="shared" si="31"/>
      </c>
    </row>
    <row r="2000" ht="15">
      <c r="V2000">
        <f t="shared" si="31"/>
      </c>
    </row>
    <row r="2001" ht="15">
      <c r="V2001">
        <f t="shared" si="31"/>
      </c>
    </row>
  </sheetData>
  <sheetProtection/>
  <printOptions/>
  <pageMargins left="0.5" right="0.5" top="0.5" bottom="0.5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K20"/>
  <sheetViews>
    <sheetView showGridLines="0" showRowColHeaders="0" zoomScale="75" zoomScaleNormal="75" zoomScalePageLayoutView="0" workbookViewId="0" topLeftCell="A1">
      <selection activeCell="K27" sqref="K27"/>
    </sheetView>
  </sheetViews>
  <sheetFormatPr defaultColWidth="9.77734375" defaultRowHeight="15"/>
  <cols>
    <col min="1" max="1" width="1.77734375" style="0" customWidth="1"/>
    <col min="2" max="2" width="6.77734375" style="0" customWidth="1"/>
    <col min="3" max="3" width="10.77734375" style="0" customWidth="1"/>
    <col min="4" max="4" width="6.77734375" style="0" customWidth="1"/>
    <col min="5" max="5" width="10.77734375" style="0" customWidth="1"/>
    <col min="6" max="6" width="6.77734375" style="0" customWidth="1"/>
    <col min="8" max="8" width="10.77734375" style="0" customWidth="1"/>
    <col min="9" max="9" width="5.77734375" style="0" customWidth="1"/>
    <col min="11" max="11" width="10.77734375" style="0" customWidth="1"/>
  </cols>
  <sheetData>
    <row r="1" spans="2:11" ht="24" thickTop="1">
      <c r="B1" s="33" t="s">
        <v>0</v>
      </c>
      <c r="C1" s="8"/>
      <c r="D1" s="8"/>
      <c r="E1" s="8"/>
      <c r="F1" s="25" t="s">
        <v>1</v>
      </c>
      <c r="G1" s="25"/>
      <c r="H1" s="25"/>
      <c r="I1" s="25"/>
      <c r="J1" s="25"/>
      <c r="K1" s="26"/>
    </row>
    <row r="2" spans="2:11" ht="15">
      <c r="B2" s="34" t="s">
        <v>2</v>
      </c>
      <c r="C2" s="35"/>
      <c r="D2" s="11"/>
      <c r="E2" s="11"/>
      <c r="F2" s="18"/>
      <c r="G2" s="18"/>
      <c r="H2" s="18"/>
      <c r="I2" s="18"/>
      <c r="J2" s="18"/>
      <c r="K2" s="19"/>
    </row>
    <row r="3" spans="2:11" ht="15">
      <c r="B3" s="36" t="s">
        <v>3</v>
      </c>
      <c r="C3" s="37" t="s">
        <v>4</v>
      </c>
      <c r="D3" s="77" t="s">
        <v>3</v>
      </c>
      <c r="E3" s="78" t="s">
        <v>4</v>
      </c>
      <c r="F3" s="18"/>
      <c r="G3" s="38" t="s">
        <v>5</v>
      </c>
      <c r="H3" s="18"/>
      <c r="I3" s="39"/>
      <c r="J3" s="47" t="s">
        <v>6</v>
      </c>
      <c r="K3" s="32"/>
    </row>
    <row r="4" spans="2:11" ht="15">
      <c r="B4" s="14"/>
      <c r="C4" s="76">
        <v>8777</v>
      </c>
      <c r="D4" s="149"/>
      <c r="E4" s="76">
        <v>877</v>
      </c>
      <c r="F4" s="18"/>
      <c r="G4" s="38" t="s">
        <v>7</v>
      </c>
      <c r="H4" s="45">
        <v>876</v>
      </c>
      <c r="I4" s="39"/>
      <c r="J4" s="47" t="s">
        <v>8</v>
      </c>
      <c r="K4" s="46"/>
    </row>
    <row r="5" spans="2:11" ht="15">
      <c r="B5" s="14"/>
      <c r="C5" s="76"/>
      <c r="D5" s="149"/>
      <c r="E5" s="76"/>
      <c r="F5" s="18"/>
      <c r="G5" s="18"/>
      <c r="H5" s="18"/>
      <c r="I5" s="39"/>
      <c r="J5" s="31"/>
      <c r="K5" s="32"/>
    </row>
    <row r="6" spans="2:11" ht="15">
      <c r="B6" s="14"/>
      <c r="C6" s="76"/>
      <c r="D6" s="149"/>
      <c r="E6" s="76"/>
      <c r="F6" s="18"/>
      <c r="G6" s="18"/>
      <c r="H6" s="45"/>
      <c r="I6" s="39"/>
      <c r="J6" s="31"/>
      <c r="K6" s="32"/>
    </row>
    <row r="7" spans="2:11" ht="15">
      <c r="B7" s="14"/>
      <c r="C7" s="76"/>
      <c r="D7" s="149"/>
      <c r="E7" s="76"/>
      <c r="F7" s="18"/>
      <c r="G7" s="18"/>
      <c r="H7" s="45"/>
      <c r="I7" s="39"/>
      <c r="J7" s="47" t="s">
        <v>9</v>
      </c>
      <c r="K7" s="32"/>
    </row>
    <row r="8" spans="2:11" ht="15">
      <c r="B8" s="14"/>
      <c r="C8" s="76"/>
      <c r="D8" s="149"/>
      <c r="E8" s="76"/>
      <c r="F8" s="18"/>
      <c r="G8" s="38" t="s">
        <v>10</v>
      </c>
      <c r="H8" s="45"/>
      <c r="I8" s="39"/>
      <c r="J8" s="47" t="s">
        <v>11</v>
      </c>
      <c r="K8" s="46"/>
    </row>
    <row r="9" spans="2:11" ht="15">
      <c r="B9" s="14"/>
      <c r="C9" s="76"/>
      <c r="D9" s="149"/>
      <c r="E9" s="76"/>
      <c r="F9" s="18"/>
      <c r="G9" s="38" t="s">
        <v>12</v>
      </c>
      <c r="H9" s="45"/>
      <c r="I9" s="39"/>
      <c r="J9" s="31"/>
      <c r="K9" s="32"/>
    </row>
    <row r="10" spans="2:11" ht="15">
      <c r="B10" s="14"/>
      <c r="C10" s="76"/>
      <c r="D10" s="149"/>
      <c r="E10" s="76"/>
      <c r="F10" s="18"/>
      <c r="G10" s="18"/>
      <c r="H10" s="45"/>
      <c r="I10" s="39"/>
      <c r="J10" s="31"/>
      <c r="K10" s="32"/>
    </row>
    <row r="11" spans="2:11" ht="15">
      <c r="B11" s="14"/>
      <c r="C11" s="76"/>
      <c r="D11" s="149"/>
      <c r="E11" s="76"/>
      <c r="F11" s="18"/>
      <c r="G11" s="18"/>
      <c r="H11" s="45"/>
      <c r="I11" s="39"/>
      <c r="J11" s="47" t="s">
        <v>13</v>
      </c>
      <c r="K11" s="46"/>
    </row>
    <row r="12" spans="2:11" ht="15">
      <c r="B12" s="14"/>
      <c r="C12" s="76"/>
      <c r="D12" s="149"/>
      <c r="E12" s="76"/>
      <c r="F12" s="18"/>
      <c r="G12" s="18"/>
      <c r="H12" s="18"/>
      <c r="I12" s="39"/>
      <c r="J12" s="31"/>
      <c r="K12" s="32"/>
    </row>
    <row r="13" spans="2:11" ht="15">
      <c r="B13" s="14"/>
      <c r="C13" s="76"/>
      <c r="D13" s="149"/>
      <c r="E13" s="76"/>
      <c r="F13" s="18"/>
      <c r="G13" s="38" t="s">
        <v>14</v>
      </c>
      <c r="H13" s="18"/>
      <c r="I13" s="39"/>
      <c r="J13" s="31"/>
      <c r="K13" s="32"/>
    </row>
    <row r="14" spans="2:11" ht="15">
      <c r="B14" s="14"/>
      <c r="C14" s="76"/>
      <c r="D14" s="149"/>
      <c r="E14" s="76"/>
      <c r="F14" s="18"/>
      <c r="G14" s="38" t="s">
        <v>12</v>
      </c>
      <c r="H14" s="28">
        <f>SUM(H6:H11)</f>
        <v>0</v>
      </c>
      <c r="I14" s="39"/>
      <c r="J14" s="31"/>
      <c r="K14" s="32"/>
    </row>
    <row r="15" spans="2:11" ht="15">
      <c r="B15" s="14"/>
      <c r="C15" s="76"/>
      <c r="D15" s="149"/>
      <c r="E15" s="76"/>
      <c r="F15" s="18"/>
      <c r="G15" s="18"/>
      <c r="H15" s="18"/>
      <c r="I15" s="39"/>
      <c r="J15" s="31"/>
      <c r="K15" s="32"/>
    </row>
    <row r="16" spans="2:11" ht="15">
      <c r="B16" s="14"/>
      <c r="C16" s="76"/>
      <c r="D16" s="149"/>
      <c r="E16" s="76"/>
      <c r="F16" s="18"/>
      <c r="G16" s="38" t="s">
        <v>15</v>
      </c>
      <c r="H16" s="28">
        <f>SUM(H4+H14-E20)</f>
        <v>-8778</v>
      </c>
      <c r="I16" s="39"/>
      <c r="J16" s="47" t="s">
        <v>16</v>
      </c>
      <c r="K16" s="48">
        <f>SUM(K4-K8+K11)</f>
        <v>0</v>
      </c>
    </row>
    <row r="17" spans="2:11" ht="15">
      <c r="B17" s="14"/>
      <c r="C17" s="76"/>
      <c r="D17" s="149"/>
      <c r="E17" s="76"/>
      <c r="F17" s="18"/>
      <c r="G17" s="18"/>
      <c r="H17" s="18"/>
      <c r="I17" s="39"/>
      <c r="J17" s="31"/>
      <c r="K17" s="32"/>
    </row>
    <row r="18" spans="2:11" ht="15.75">
      <c r="B18" s="14"/>
      <c r="C18" s="76"/>
      <c r="D18" s="149"/>
      <c r="E18" s="76"/>
      <c r="F18" s="18"/>
      <c r="G18" s="18"/>
      <c r="H18" s="40" t="s">
        <v>17</v>
      </c>
      <c r="I18" s="18"/>
      <c r="J18" s="18"/>
      <c r="K18" s="19"/>
    </row>
    <row r="19" spans="2:11" ht="15.75">
      <c r="B19" s="14"/>
      <c r="C19" s="76"/>
      <c r="D19" s="149"/>
      <c r="E19" s="76"/>
      <c r="F19" s="18"/>
      <c r="G19" s="18"/>
      <c r="H19" s="18"/>
      <c r="I19" s="41" t="s">
        <v>18</v>
      </c>
      <c r="J19" s="42">
        <f>SUM(H16-K16)</f>
        <v>-8778</v>
      </c>
      <c r="K19" s="19"/>
    </row>
    <row r="20" spans="2:11" ht="16.5" thickBot="1">
      <c r="B20" s="43"/>
      <c r="C20" s="44"/>
      <c r="D20" s="179" t="s">
        <v>19</v>
      </c>
      <c r="E20" s="44">
        <f>SUM(C4:C19,E4:E19)</f>
        <v>9654</v>
      </c>
      <c r="F20" s="21"/>
      <c r="G20" s="168" t="str">
        <f>IF(J19=0,"",IF(J19&lt;0,"Subtract","Add"))</f>
        <v>Subtract</v>
      </c>
      <c r="H20" s="169">
        <f>IF(J19=0,"",J19)</f>
        <v>-8778</v>
      </c>
      <c r="I20" s="170" t="str">
        <f>IF(J19=0,"",IF(J19&lt;0,"from checkbook","to checkbook"))</f>
        <v>from checkbook</v>
      </c>
      <c r="J20" s="171"/>
      <c r="K20" s="264">
        <f>IF(K4="","",IF(J19=0,"Checkbook is balanced",""))</f>
      </c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11"/>
  </sheetPr>
  <dimension ref="A1:I510"/>
  <sheetViews>
    <sheetView showGridLines="0" showRowColHeaders="0" zoomScale="71" zoomScaleNormal="71" zoomScalePageLayoutView="0" workbookViewId="0" topLeftCell="A1">
      <pane ySplit="11" topLeftCell="BM12" activePane="bottomLeft" state="frozen"/>
      <selection pane="topLeft" activeCell="A1" sqref="A1"/>
      <selection pane="bottomLeft" activeCell="G54" sqref="G54"/>
    </sheetView>
  </sheetViews>
  <sheetFormatPr defaultColWidth="9.77734375" defaultRowHeight="15"/>
  <cols>
    <col min="1" max="1" width="5.3359375" style="189" customWidth="1"/>
    <col min="2" max="2" width="4.77734375" style="0" customWidth="1"/>
    <col min="3" max="3" width="12.77734375" style="0" customWidth="1"/>
    <col min="4" max="5" width="10.77734375" style="0" customWidth="1"/>
    <col min="6" max="6" width="12.77734375" style="0" customWidth="1"/>
    <col min="7" max="8" width="13.77734375" style="0" customWidth="1"/>
    <col min="9" max="9" width="12.77734375" style="0" customWidth="1"/>
  </cols>
  <sheetData>
    <row r="1" spans="1:9" ht="23.25">
      <c r="A1" s="58" t="s">
        <v>20</v>
      </c>
      <c r="B1" s="71"/>
      <c r="C1" s="193"/>
      <c r="D1" s="71"/>
      <c r="E1" s="71"/>
      <c r="F1" s="71"/>
      <c r="G1" s="71"/>
      <c r="H1" s="71"/>
      <c r="I1" s="72"/>
    </row>
    <row r="2" spans="1:9" ht="15">
      <c r="A2" s="194" t="s">
        <v>21</v>
      </c>
      <c r="B2" s="57"/>
      <c r="C2" s="57"/>
      <c r="D2" s="11"/>
      <c r="E2" s="11"/>
      <c r="F2" s="11"/>
      <c r="G2" s="11"/>
      <c r="H2" s="11"/>
      <c r="I2" s="62"/>
    </row>
    <row r="3" spans="1:9" ht="15">
      <c r="A3" s="63"/>
      <c r="B3" s="259" t="s">
        <v>22</v>
      </c>
      <c r="C3" s="45"/>
      <c r="D3" s="257" t="s">
        <v>23</v>
      </c>
      <c r="E3" s="18"/>
      <c r="F3" s="18"/>
      <c r="G3" s="28">
        <f>IF(C5="","",PMT((C4/12)/100,C5,-C3))</f>
      </c>
      <c r="H3" s="257" t="s">
        <v>24</v>
      </c>
      <c r="I3" s="62"/>
    </row>
    <row r="4" spans="1:9" ht="15">
      <c r="A4" s="63"/>
      <c r="B4" s="259" t="s">
        <v>25</v>
      </c>
      <c r="C4" s="181"/>
      <c r="D4" s="257" t="s">
        <v>26</v>
      </c>
      <c r="E4" s="18"/>
      <c r="F4" s="18"/>
      <c r="G4" s="28">
        <f>IF(C5="","",SUM(G3*C5-C3))</f>
      </c>
      <c r="H4" s="257" t="s">
        <v>27</v>
      </c>
      <c r="I4" s="65"/>
    </row>
    <row r="5" spans="1:9" ht="15">
      <c r="A5" s="63"/>
      <c r="B5" s="311"/>
      <c r="C5" s="3"/>
      <c r="D5" s="257" t="s">
        <v>28</v>
      </c>
      <c r="E5" s="18"/>
      <c r="F5" s="18"/>
      <c r="G5" s="28">
        <f>IF(C5="","",SUM(G3*C5))</f>
      </c>
      <c r="H5" s="257" t="s">
        <v>29</v>
      </c>
      <c r="I5" s="65"/>
    </row>
    <row r="6" spans="1:9" ht="15">
      <c r="A6" s="63"/>
      <c r="B6" s="259" t="s">
        <v>30</v>
      </c>
      <c r="C6" s="188"/>
      <c r="D6" s="258" t="s">
        <v>31</v>
      </c>
      <c r="E6" s="18"/>
      <c r="F6" s="18"/>
      <c r="G6" s="195">
        <f>IF(C5="","",C5/12)</f>
      </c>
      <c r="H6" s="257" t="s">
        <v>32</v>
      </c>
      <c r="I6" s="65"/>
    </row>
    <row r="7" spans="1:9" ht="15">
      <c r="A7" s="61"/>
      <c r="B7" s="259" t="s">
        <v>22</v>
      </c>
      <c r="C7" s="310"/>
      <c r="D7" s="257" t="s">
        <v>33</v>
      </c>
      <c r="E7" s="294"/>
      <c r="F7" s="257"/>
      <c r="G7" s="294"/>
      <c r="H7" s="295"/>
      <c r="I7" s="62"/>
    </row>
    <row r="8" spans="1:9" ht="15">
      <c r="A8" s="192"/>
      <c r="B8" s="298"/>
      <c r="C8" s="309"/>
      <c r="D8" s="300"/>
      <c r="E8" s="298">
        <f>IF(C7="","","The extra money each month, reduces your interest to")</f>
      </c>
      <c r="F8" s="307">
        <f>IF(C7="","",SUM(D12:D383))</f>
      </c>
      <c r="G8" s="301"/>
      <c r="H8" s="306">
        <f>IF(C7="","","Your interest savings would be")</f>
      </c>
      <c r="I8" s="308">
        <f>IF(C7="","",G4-F8)</f>
      </c>
    </row>
    <row r="9" spans="1:9" ht="15.75" thickBot="1">
      <c r="A9" s="73"/>
      <c r="B9" s="74"/>
      <c r="C9" s="297"/>
      <c r="D9" s="296">
        <f>IF(C7="","","Number of monthly payments would be")</f>
      </c>
      <c r="E9" s="303">
        <f>IF(C7="","",COUNTIF(B12:B383,"&gt;0"))</f>
      </c>
      <c r="F9" s="304">
        <f>IF(C7="","",C5-E9)</f>
      </c>
      <c r="G9" s="305">
        <f>IF(C7="","","less monthly payments would have to be made.")</f>
      </c>
      <c r="H9" s="302"/>
      <c r="I9" s="299"/>
    </row>
    <row r="10" spans="1:9" ht="15">
      <c r="A10" s="191"/>
      <c r="B10" s="182" t="s">
        <v>34</v>
      </c>
      <c r="C10" s="182" t="s">
        <v>35</v>
      </c>
      <c r="D10" s="182" t="s">
        <v>13</v>
      </c>
      <c r="E10" s="182" t="s">
        <v>36</v>
      </c>
      <c r="F10" s="182" t="s">
        <v>37</v>
      </c>
      <c r="G10" s="182" t="s">
        <v>38</v>
      </c>
      <c r="H10" s="182" t="s">
        <v>39</v>
      </c>
      <c r="I10" s="182" t="s">
        <v>40</v>
      </c>
    </row>
    <row r="11" spans="1:9" ht="15">
      <c r="A11" s="191"/>
      <c r="B11" s="182" t="s">
        <v>41</v>
      </c>
      <c r="C11" s="182" t="s">
        <v>8</v>
      </c>
      <c r="D11" s="182" t="s">
        <v>42</v>
      </c>
      <c r="E11" s="182" t="s">
        <v>42</v>
      </c>
      <c r="F11" s="182" t="s">
        <v>8</v>
      </c>
      <c r="G11" s="182" t="s">
        <v>43</v>
      </c>
      <c r="H11" s="182" t="s">
        <v>43</v>
      </c>
      <c r="I11" s="182" t="s">
        <v>44</v>
      </c>
    </row>
    <row r="12" spans="1:8" ht="15">
      <c r="A12" s="189">
        <f>IF(B12="","","Jan")</f>
      </c>
      <c r="B12">
        <f>IF(C6=1,1,"")</f>
      </c>
      <c r="C12" s="180">
        <f>IF($C$6=1,C3,"")</f>
      </c>
      <c r="D12" s="180">
        <f>IF($C$6=1,$C$3*(($C$4/100)/12),"")</f>
      </c>
      <c r="E12" s="180">
        <f>IF($C$6=1,($C$7+$G$3)-D12,"")</f>
      </c>
      <c r="F12" s="180">
        <f>IF($C$6=1,C12-E12,"")</f>
      </c>
      <c r="G12" s="180">
        <f>E12</f>
      </c>
      <c r="H12" s="180">
        <f>D12</f>
      </c>
    </row>
    <row r="13" spans="1:8" ht="15">
      <c r="A13" s="189">
        <f>IF(B13="","","Feb")</f>
      </c>
      <c r="B13">
        <f>IF(B12=ABS($C$5),"",IF($C$6=2,1,IF(B12="","",IF(F12-$C$7&lt;=0,"",B12+1))))</f>
      </c>
      <c r="C13" s="180">
        <f>IF(B13="","",IF($C$6=2,$C$3,F12))</f>
      </c>
      <c r="D13" s="180">
        <f aca="true" t="shared" si="0" ref="D13:D25">IF(B13="","",C13*(($C$4/100)/12))</f>
      </c>
      <c r="E13" s="180">
        <f aca="true" t="shared" si="1" ref="E13:E76">IF(B13="","",IF(C13+D13&lt;($G$3+$C$7),(C13+D13)-D13,($G$3+$C$7)-D13))</f>
      </c>
      <c r="F13" s="180">
        <f>IF(B13="","",C13-E13)</f>
      </c>
      <c r="G13" s="180">
        <f>IF(B13="","",G12+E13)</f>
      </c>
      <c r="H13" s="180">
        <f aca="true" t="shared" si="2" ref="H13:H76">IF(B13="","",H12+D13)</f>
      </c>
    </row>
    <row r="14" spans="1:8" ht="15">
      <c r="A14" s="189">
        <f>IF(B14="","","Mar")</f>
      </c>
      <c r="B14">
        <f>IF(B13=ABS($C$5),"",IF($C$6=3,1,IF(B13="","",IF(F13-$C$7&lt;=0,"",B13+1))))</f>
      </c>
      <c r="C14" s="180">
        <f>IF(B14="","",IF($C$6=3,$C$3,F13))</f>
      </c>
      <c r="D14" s="180">
        <f t="shared" si="0"/>
      </c>
      <c r="E14" s="180">
        <f t="shared" si="1"/>
      </c>
      <c r="F14" s="180">
        <f aca="true" t="shared" si="3" ref="F14:F29">IF(B14="","",C14-E14)</f>
      </c>
      <c r="G14" s="180">
        <f aca="true" t="shared" si="4" ref="G14:G29">IF(B14="","",G13+E14)</f>
      </c>
      <c r="H14" s="180">
        <f t="shared" si="2"/>
      </c>
    </row>
    <row r="15" spans="1:8" ht="15">
      <c r="A15" s="189">
        <f>IF(B15="","","Apr")</f>
      </c>
      <c r="B15">
        <f>IF(B14=ABS($C$5),"",IF($C$6=4,1,IF(B14="","",IF(F14-$C$7&lt;=0,"",B14+1))))</f>
      </c>
      <c r="C15" s="180">
        <f>IF(B15="","",IF($C$6=4,$C$3,F14))</f>
      </c>
      <c r="D15" s="180">
        <f t="shared" si="0"/>
      </c>
      <c r="E15" s="180">
        <f t="shared" si="1"/>
      </c>
      <c r="F15" s="180">
        <f t="shared" si="3"/>
      </c>
      <c r="G15" s="180">
        <f t="shared" si="4"/>
      </c>
      <c r="H15" s="180">
        <f t="shared" si="2"/>
      </c>
    </row>
    <row r="16" spans="1:8" ht="15">
      <c r="A16" s="189">
        <f>IF(B16="","","May")</f>
      </c>
      <c r="B16">
        <f>IF(B15=ABS($C$5),"",IF($C$6=5,1,IF(B15="","",IF(F15-$C$7&lt;=0,"",B15+1))))</f>
      </c>
      <c r="C16" s="180">
        <f>IF(B16="","",IF($C$6=5,$C$3,F15))</f>
      </c>
      <c r="D16" s="180">
        <f t="shared" si="0"/>
      </c>
      <c r="E16" s="180">
        <f t="shared" si="1"/>
      </c>
      <c r="F16" s="180">
        <f t="shared" si="3"/>
      </c>
      <c r="G16" s="180">
        <f t="shared" si="4"/>
      </c>
      <c r="H16" s="180">
        <f t="shared" si="2"/>
      </c>
    </row>
    <row r="17" spans="1:8" ht="15">
      <c r="A17" s="189">
        <f>IF(B17="","","Jun")</f>
      </c>
      <c r="B17">
        <f>IF(B16=ABS($C$5),"",IF($C$6=6,1,IF(B16="","",IF(F16-$C$7&lt;=0,"",B16+1))))</f>
      </c>
      <c r="C17" s="180">
        <f>IF(B17="","",IF($C$6=6,$C$3,F16))</f>
      </c>
      <c r="D17" s="180">
        <f t="shared" si="0"/>
      </c>
      <c r="E17" s="180">
        <f t="shared" si="1"/>
      </c>
      <c r="F17" s="180">
        <f t="shared" si="3"/>
      </c>
      <c r="G17" s="180">
        <f t="shared" si="4"/>
      </c>
      <c r="H17" s="180">
        <f t="shared" si="2"/>
      </c>
    </row>
    <row r="18" spans="1:8" ht="15">
      <c r="A18" s="189">
        <f>IF(B18="","","Jul")</f>
      </c>
      <c r="B18">
        <f>IF(B17=ABS($C$5),"",IF($C$6=7,1,IF(B17="","",IF(F17-$C$7&lt;=0,"",B17+1))))</f>
      </c>
      <c r="C18" s="180">
        <f>IF(B18="","",IF($C$6=7,$C$3,F17))</f>
      </c>
      <c r="D18" s="180">
        <f t="shared" si="0"/>
      </c>
      <c r="E18" s="180">
        <f t="shared" si="1"/>
      </c>
      <c r="F18" s="180">
        <f t="shared" si="3"/>
      </c>
      <c r="G18" s="180">
        <f t="shared" si="4"/>
      </c>
      <c r="H18" s="180">
        <f t="shared" si="2"/>
      </c>
    </row>
    <row r="19" spans="1:9" ht="15">
      <c r="A19" s="189">
        <f>IF(B19="","","Aug")</f>
      </c>
      <c r="B19">
        <f>IF(B18=ABS($C$5),"",IF($C$6=8,1,IF(B18="","",IF(F18-$C$7&lt;=0,"",B18+1))))</f>
      </c>
      <c r="C19" s="180">
        <f>IF(B19="","",IF($C$6=8,$C$3,F18))</f>
      </c>
      <c r="D19" s="180">
        <f t="shared" si="0"/>
      </c>
      <c r="E19" s="180">
        <f t="shared" si="1"/>
      </c>
      <c r="F19" s="180">
        <f t="shared" si="3"/>
      </c>
      <c r="G19" s="180">
        <f t="shared" si="4"/>
      </c>
      <c r="H19" s="180">
        <f t="shared" si="2"/>
      </c>
      <c r="I19" s="183">
        <f>IF(C6="","","Principle")</f>
      </c>
    </row>
    <row r="20" spans="1:9" ht="15">
      <c r="A20" s="189">
        <f>IF(B20="","","Sep")</f>
      </c>
      <c r="B20">
        <f>IF(B19=ABS($C$5),"",IF($C$6=9,1,IF(B19="","",IF(F19-$C$7&lt;=0,"",B19+1))))</f>
      </c>
      <c r="C20" s="180">
        <f>IF(B20="","",IF($C$6=9,$C$3,F19))</f>
      </c>
      <c r="D20" s="180">
        <f t="shared" si="0"/>
      </c>
      <c r="E20" s="180">
        <f t="shared" si="1"/>
      </c>
      <c r="F20" s="180">
        <f t="shared" si="3"/>
      </c>
      <c r="G20" s="180">
        <f t="shared" si="4"/>
      </c>
      <c r="H20" s="180">
        <f t="shared" si="2"/>
      </c>
      <c r="I20" s="184">
        <f>IF(C6="","",SUM(E12:E23))</f>
      </c>
    </row>
    <row r="21" spans="1:9" ht="15">
      <c r="A21" s="189">
        <f>IF(B21="","","Oct")</f>
      </c>
      <c r="B21">
        <f>IF(B20=ABS($C$5),"",IF($C$6=10,1,IF(B20="","",IF(F20-$C$7&lt;=0,"",B20+1))))</f>
      </c>
      <c r="C21" s="180">
        <f>IF(B21="","",IF($C$6=10,$C$3,F20))</f>
      </c>
      <c r="D21" s="180">
        <f t="shared" si="0"/>
      </c>
      <c r="E21" s="180">
        <f t="shared" si="1"/>
      </c>
      <c r="F21" s="180">
        <f t="shared" si="3"/>
      </c>
      <c r="G21" s="180">
        <f t="shared" si="4"/>
      </c>
      <c r="H21" s="180">
        <f t="shared" si="2"/>
      </c>
      <c r="I21" s="183">
        <f>IF(C6="","","Interest")</f>
      </c>
    </row>
    <row r="22" spans="1:9" ht="15">
      <c r="A22" s="189">
        <f>IF(B22="","","Nov")</f>
      </c>
      <c r="B22">
        <f>IF(B21=ABS($C$5),"",IF($C$6=11,1,IF(B21="","",IF(F21-$C$7&lt;=0,"",B21+1))))</f>
      </c>
      <c r="C22" s="180">
        <f>IF(B22="","",IF($C$6=11,$C$3,F21))</f>
      </c>
      <c r="D22" s="180">
        <f t="shared" si="0"/>
      </c>
      <c r="E22" s="180">
        <f t="shared" si="1"/>
      </c>
      <c r="F22" s="180">
        <f t="shared" si="3"/>
      </c>
      <c r="G22" s="180">
        <f t="shared" si="4"/>
      </c>
      <c r="H22" s="180">
        <f t="shared" si="2"/>
      </c>
      <c r="I22" s="184">
        <f>IF(C6="","",SUM(D12:D23))</f>
      </c>
    </row>
    <row r="23" spans="1:9" ht="15">
      <c r="A23" s="190">
        <f>IF(B23="","","Dec")</f>
      </c>
      <c r="B23" s="185">
        <f>IF(B22=ABS($C$5),"",IF($C$6=12,1,IF(B22="","",IF(F22-$C$7&lt;=0,"",B22+1))))</f>
      </c>
      <c r="C23" s="186">
        <f>IF(B23="","",IF($C$6=12,$C$3,F22))</f>
      </c>
      <c r="D23" s="186">
        <f t="shared" si="0"/>
      </c>
      <c r="E23" s="186">
        <f t="shared" si="1"/>
      </c>
      <c r="F23" s="186">
        <f t="shared" si="3"/>
      </c>
      <c r="G23" s="186">
        <f t="shared" si="4"/>
      </c>
      <c r="H23" s="186">
        <f t="shared" si="2"/>
      </c>
      <c r="I23" s="187">
        <f>IF(C6="","","End of year 1")</f>
      </c>
    </row>
    <row r="24" spans="1:8" ht="15">
      <c r="A24" s="189">
        <f>IF(B24="","","Jan")</f>
      </c>
      <c r="B24">
        <f>IF(B23=ABS($C$5),"",IF(B23="","",IF(G23&gt;=$C$3,"",B23+1)))</f>
      </c>
      <c r="C24" s="180">
        <f aca="true" t="shared" si="5" ref="C24:C29">IF(B24="","",F23)</f>
      </c>
      <c r="D24" s="180">
        <f t="shared" si="0"/>
      </c>
      <c r="E24" s="180">
        <f t="shared" si="1"/>
      </c>
      <c r="F24" s="180">
        <f t="shared" si="3"/>
      </c>
      <c r="G24" s="180">
        <f t="shared" si="4"/>
      </c>
      <c r="H24" s="180">
        <f t="shared" si="2"/>
      </c>
    </row>
    <row r="25" spans="1:8" ht="15">
      <c r="A25" s="189">
        <f>IF(B25="","","Feb")</f>
      </c>
      <c r="B25">
        <f aca="true" t="shared" si="6" ref="B25:B88">IF(B24=ABS($C$5),"",IF(B24="","",IF(G24&gt;=$C$3,"",B24+1)))</f>
      </c>
      <c r="C25" s="180">
        <f t="shared" si="5"/>
      </c>
      <c r="D25" s="180">
        <f t="shared" si="0"/>
      </c>
      <c r="E25" s="180">
        <f t="shared" si="1"/>
      </c>
      <c r="F25" s="180">
        <f t="shared" si="3"/>
      </c>
      <c r="G25" s="180">
        <f t="shared" si="4"/>
      </c>
      <c r="H25" s="180">
        <f t="shared" si="2"/>
      </c>
    </row>
    <row r="26" spans="1:8" ht="15">
      <c r="A26" s="189">
        <f>IF(B26="","","Mar")</f>
      </c>
      <c r="B26">
        <f t="shared" si="6"/>
      </c>
      <c r="C26" s="180">
        <f t="shared" si="5"/>
      </c>
      <c r="D26" s="180">
        <f aca="true" t="shared" si="7" ref="D26:D89">IF(B26="","",C26*(($C$4/100)/12))</f>
      </c>
      <c r="E26" s="180">
        <f t="shared" si="1"/>
      </c>
      <c r="F26" s="180">
        <f t="shared" si="3"/>
      </c>
      <c r="G26" s="180">
        <f t="shared" si="4"/>
      </c>
      <c r="H26" s="180">
        <f t="shared" si="2"/>
      </c>
    </row>
    <row r="27" spans="1:8" ht="15">
      <c r="A27" s="189">
        <f>IF(B27="","","Apr")</f>
      </c>
      <c r="B27">
        <f t="shared" si="6"/>
      </c>
      <c r="C27" s="180">
        <f t="shared" si="5"/>
      </c>
      <c r="D27" s="180">
        <f t="shared" si="7"/>
      </c>
      <c r="E27" s="180">
        <f t="shared" si="1"/>
      </c>
      <c r="F27" s="180">
        <f t="shared" si="3"/>
      </c>
      <c r="G27" s="180">
        <f t="shared" si="4"/>
      </c>
      <c r="H27" s="180">
        <f t="shared" si="2"/>
      </c>
    </row>
    <row r="28" spans="1:8" ht="15">
      <c r="A28" s="189">
        <f>IF(B28="","","May")</f>
      </c>
      <c r="B28">
        <f t="shared" si="6"/>
      </c>
      <c r="C28" s="180">
        <f t="shared" si="5"/>
      </c>
      <c r="D28" s="180">
        <f t="shared" si="7"/>
      </c>
      <c r="E28" s="180">
        <f t="shared" si="1"/>
      </c>
      <c r="F28" s="180">
        <f t="shared" si="3"/>
      </c>
      <c r="G28" s="180">
        <f t="shared" si="4"/>
      </c>
      <c r="H28" s="180">
        <f t="shared" si="2"/>
      </c>
    </row>
    <row r="29" spans="1:8" ht="15">
      <c r="A29" s="189">
        <f>IF(B29="","","Jun")</f>
      </c>
      <c r="B29">
        <f t="shared" si="6"/>
      </c>
      <c r="C29" s="180">
        <f t="shared" si="5"/>
      </c>
      <c r="D29" s="180">
        <f t="shared" si="7"/>
      </c>
      <c r="E29" s="180">
        <f t="shared" si="1"/>
      </c>
      <c r="F29" s="180">
        <f t="shared" si="3"/>
      </c>
      <c r="G29" s="180">
        <f t="shared" si="4"/>
      </c>
      <c r="H29" s="180">
        <f t="shared" si="2"/>
      </c>
    </row>
    <row r="30" spans="1:8" ht="15">
      <c r="A30" s="189">
        <f>IF(B30="","","Jul")</f>
      </c>
      <c r="B30">
        <f t="shared" si="6"/>
      </c>
      <c r="C30" s="180">
        <f aca="true" t="shared" si="8" ref="C30:C45">IF(B30="","",F29)</f>
      </c>
      <c r="D30" s="180">
        <f t="shared" si="7"/>
      </c>
      <c r="E30" s="180">
        <f t="shared" si="1"/>
      </c>
      <c r="F30" s="180">
        <f aca="true" t="shared" si="9" ref="F30:F45">IF(B30="","",C30-E30)</f>
      </c>
      <c r="G30" s="180">
        <f aca="true" t="shared" si="10" ref="G30:G45">IF(B30="","",G29+E30)</f>
      </c>
      <c r="H30" s="180">
        <f t="shared" si="2"/>
      </c>
    </row>
    <row r="31" spans="1:9" ht="15">
      <c r="A31" s="189">
        <f>IF(B31="","","Aug")</f>
      </c>
      <c r="B31">
        <f t="shared" si="6"/>
      </c>
      <c r="C31" s="180">
        <f t="shared" si="8"/>
      </c>
      <c r="D31" s="180">
        <f t="shared" si="7"/>
      </c>
      <c r="E31" s="180">
        <f t="shared" si="1"/>
      </c>
      <c r="F31" s="180">
        <f t="shared" si="9"/>
      </c>
      <c r="G31" s="180">
        <f t="shared" si="10"/>
      </c>
      <c r="H31" s="180">
        <f t="shared" si="2"/>
      </c>
      <c r="I31" s="183">
        <f>IF(B24="","","Principal")</f>
      </c>
    </row>
    <row r="32" spans="1:9" ht="15">
      <c r="A32" s="189">
        <f>IF(B32="","","Sep")</f>
      </c>
      <c r="B32">
        <f t="shared" si="6"/>
      </c>
      <c r="C32" s="180">
        <f t="shared" si="8"/>
      </c>
      <c r="D32" s="180">
        <f t="shared" si="7"/>
      </c>
      <c r="E32" s="180">
        <f t="shared" si="1"/>
      </c>
      <c r="F32" s="180">
        <f t="shared" si="9"/>
      </c>
      <c r="G32" s="180">
        <f t="shared" si="10"/>
      </c>
      <c r="H32" s="180">
        <f t="shared" si="2"/>
      </c>
      <c r="I32" s="184">
        <f>IF(B24="","",SUM(E24:E35))</f>
      </c>
    </row>
    <row r="33" spans="1:9" ht="15">
      <c r="A33" s="189">
        <f>IF(B33="","","Oct")</f>
      </c>
      <c r="B33">
        <f t="shared" si="6"/>
      </c>
      <c r="C33" s="180">
        <f t="shared" si="8"/>
      </c>
      <c r="D33" s="180">
        <f t="shared" si="7"/>
      </c>
      <c r="E33" s="180">
        <f t="shared" si="1"/>
      </c>
      <c r="F33" s="180">
        <f t="shared" si="9"/>
      </c>
      <c r="G33" s="180">
        <f t="shared" si="10"/>
      </c>
      <c r="H33" s="180">
        <f t="shared" si="2"/>
      </c>
      <c r="I33" s="183">
        <f>IF(B24="","","Interest")</f>
      </c>
    </row>
    <row r="34" spans="1:9" ht="15">
      <c r="A34" s="189">
        <f>IF(B34="","","Nov")</f>
      </c>
      <c r="B34">
        <f t="shared" si="6"/>
      </c>
      <c r="C34" s="180">
        <f t="shared" si="8"/>
      </c>
      <c r="D34" s="180">
        <f t="shared" si="7"/>
      </c>
      <c r="E34" s="180">
        <f t="shared" si="1"/>
      </c>
      <c r="F34" s="180">
        <f t="shared" si="9"/>
      </c>
      <c r="G34" s="180">
        <f t="shared" si="10"/>
      </c>
      <c r="H34" s="180">
        <f t="shared" si="2"/>
      </c>
      <c r="I34" s="184">
        <f>IF(B24="","",SUM(D24:D35))</f>
      </c>
    </row>
    <row r="35" spans="1:9" ht="15">
      <c r="A35" s="190">
        <f>IF(B35="","","Dec")</f>
      </c>
      <c r="B35" s="185">
        <f t="shared" si="6"/>
      </c>
      <c r="C35" s="186">
        <f t="shared" si="8"/>
      </c>
      <c r="D35" s="186">
        <f t="shared" si="7"/>
      </c>
      <c r="E35" s="186">
        <f t="shared" si="1"/>
      </c>
      <c r="F35" s="186">
        <f t="shared" si="9"/>
      </c>
      <c r="G35" s="186">
        <f t="shared" si="10"/>
      </c>
      <c r="H35" s="186">
        <f t="shared" si="2"/>
      </c>
      <c r="I35" s="187">
        <f>IF(B24="","","End of year 2")</f>
      </c>
    </row>
    <row r="36" spans="1:8" ht="15">
      <c r="A36" s="189">
        <f>IF(B36="","","Jan")</f>
      </c>
      <c r="B36">
        <f t="shared" si="6"/>
      </c>
      <c r="C36" s="180">
        <f t="shared" si="8"/>
      </c>
      <c r="D36" s="180">
        <f t="shared" si="7"/>
      </c>
      <c r="E36" s="180">
        <f t="shared" si="1"/>
      </c>
      <c r="F36" s="180">
        <f t="shared" si="9"/>
      </c>
      <c r="G36" s="180">
        <f t="shared" si="10"/>
      </c>
      <c r="H36" s="180">
        <f t="shared" si="2"/>
      </c>
    </row>
    <row r="37" spans="1:8" ht="15">
      <c r="A37" s="189">
        <f>IF(B37="","","Feb")</f>
      </c>
      <c r="B37">
        <f t="shared" si="6"/>
      </c>
      <c r="C37" s="180">
        <f t="shared" si="8"/>
      </c>
      <c r="D37" s="180">
        <f t="shared" si="7"/>
      </c>
      <c r="E37" s="180">
        <f t="shared" si="1"/>
      </c>
      <c r="F37" s="180">
        <f t="shared" si="9"/>
      </c>
      <c r="G37" s="180">
        <f t="shared" si="10"/>
      </c>
      <c r="H37" s="180">
        <f t="shared" si="2"/>
      </c>
    </row>
    <row r="38" spans="1:8" ht="15">
      <c r="A38" s="189">
        <f>IF(B38="","","Mar")</f>
      </c>
      <c r="B38">
        <f t="shared" si="6"/>
      </c>
      <c r="C38" s="180">
        <f t="shared" si="8"/>
      </c>
      <c r="D38" s="180">
        <f t="shared" si="7"/>
      </c>
      <c r="E38" s="180">
        <f t="shared" si="1"/>
      </c>
      <c r="F38" s="180">
        <f t="shared" si="9"/>
      </c>
      <c r="G38" s="180">
        <f t="shared" si="10"/>
      </c>
      <c r="H38" s="180">
        <f t="shared" si="2"/>
      </c>
    </row>
    <row r="39" spans="1:8" ht="15">
      <c r="A39" s="189">
        <f>IF(B39="","","Apr")</f>
      </c>
      <c r="B39">
        <f t="shared" si="6"/>
      </c>
      <c r="C39" s="180">
        <f t="shared" si="8"/>
      </c>
      <c r="D39" s="180">
        <f t="shared" si="7"/>
      </c>
      <c r="E39" s="180">
        <f t="shared" si="1"/>
      </c>
      <c r="F39" s="180">
        <f t="shared" si="9"/>
      </c>
      <c r="G39" s="180">
        <f t="shared" si="10"/>
      </c>
      <c r="H39" s="180">
        <f t="shared" si="2"/>
      </c>
    </row>
    <row r="40" spans="1:8" ht="15">
      <c r="A40" s="189">
        <f>IF(B40="","","May")</f>
      </c>
      <c r="B40">
        <f t="shared" si="6"/>
      </c>
      <c r="C40" s="180">
        <f t="shared" si="8"/>
      </c>
      <c r="D40" s="180">
        <f t="shared" si="7"/>
      </c>
      <c r="E40" s="180">
        <f t="shared" si="1"/>
      </c>
      <c r="F40" s="180">
        <f t="shared" si="9"/>
      </c>
      <c r="G40" s="180">
        <f t="shared" si="10"/>
      </c>
      <c r="H40" s="180">
        <f t="shared" si="2"/>
      </c>
    </row>
    <row r="41" spans="1:8" ht="15">
      <c r="A41" s="189">
        <f>IF(B41="","","Jun")</f>
      </c>
      <c r="B41">
        <f t="shared" si="6"/>
      </c>
      <c r="C41" s="180">
        <f t="shared" si="8"/>
      </c>
      <c r="D41" s="180">
        <f t="shared" si="7"/>
      </c>
      <c r="E41" s="180">
        <f t="shared" si="1"/>
      </c>
      <c r="F41" s="180">
        <f t="shared" si="9"/>
      </c>
      <c r="G41" s="180">
        <f t="shared" si="10"/>
      </c>
      <c r="H41" s="180">
        <f t="shared" si="2"/>
      </c>
    </row>
    <row r="42" spans="1:8" ht="15">
      <c r="A42" s="189">
        <f>IF(B42="","","Jul")</f>
      </c>
      <c r="B42">
        <f t="shared" si="6"/>
      </c>
      <c r="C42" s="180">
        <f t="shared" si="8"/>
      </c>
      <c r="D42" s="180">
        <f t="shared" si="7"/>
      </c>
      <c r="E42" s="180">
        <f t="shared" si="1"/>
      </c>
      <c r="F42" s="180">
        <f t="shared" si="9"/>
      </c>
      <c r="G42" s="180">
        <f t="shared" si="10"/>
      </c>
      <c r="H42" s="180">
        <f t="shared" si="2"/>
      </c>
    </row>
    <row r="43" spans="1:9" ht="15">
      <c r="A43" s="189">
        <f>IF(B43="","","Aug")</f>
      </c>
      <c r="B43">
        <f t="shared" si="6"/>
      </c>
      <c r="C43" s="180">
        <f t="shared" si="8"/>
      </c>
      <c r="D43" s="180">
        <f t="shared" si="7"/>
      </c>
      <c r="E43" s="180">
        <f t="shared" si="1"/>
      </c>
      <c r="F43" s="180">
        <f t="shared" si="9"/>
      </c>
      <c r="G43" s="180">
        <f t="shared" si="10"/>
      </c>
      <c r="H43" s="180">
        <f t="shared" si="2"/>
      </c>
      <c r="I43" s="183">
        <f>IF(B36="","","Principal")</f>
      </c>
    </row>
    <row r="44" spans="1:9" ht="15">
      <c r="A44" s="189">
        <f>IF(B44="","","Sep")</f>
      </c>
      <c r="B44">
        <f t="shared" si="6"/>
      </c>
      <c r="C44" s="180">
        <f t="shared" si="8"/>
      </c>
      <c r="D44" s="180">
        <f t="shared" si="7"/>
      </c>
      <c r="E44" s="180">
        <f t="shared" si="1"/>
      </c>
      <c r="F44" s="180">
        <f t="shared" si="9"/>
      </c>
      <c r="G44" s="180">
        <f t="shared" si="10"/>
      </c>
      <c r="H44" s="180">
        <f t="shared" si="2"/>
      </c>
      <c r="I44" s="184">
        <f>IF(B36="","",SUM(E36:E47))</f>
      </c>
    </row>
    <row r="45" spans="1:9" ht="15">
      <c r="A45" s="189">
        <f>IF(B45="","","Oct")</f>
      </c>
      <c r="B45">
        <f t="shared" si="6"/>
      </c>
      <c r="C45" s="180">
        <f t="shared" si="8"/>
      </c>
      <c r="D45" s="180">
        <f t="shared" si="7"/>
      </c>
      <c r="E45" s="180">
        <f t="shared" si="1"/>
      </c>
      <c r="F45" s="180">
        <f t="shared" si="9"/>
      </c>
      <c r="G45" s="180">
        <f t="shared" si="10"/>
      </c>
      <c r="H45" s="180">
        <f t="shared" si="2"/>
      </c>
      <c r="I45" s="183">
        <f>IF(B36="","","Interest")</f>
      </c>
    </row>
    <row r="46" spans="1:9" ht="15">
      <c r="A46" s="189">
        <f>IF(B46="","","Nov")</f>
      </c>
      <c r="B46">
        <f t="shared" si="6"/>
      </c>
      <c r="C46" s="180">
        <f aca="true" t="shared" si="11" ref="C46:C61">IF(B46="","",F45)</f>
      </c>
      <c r="D46" s="180">
        <f t="shared" si="7"/>
      </c>
      <c r="E46" s="180">
        <f t="shared" si="1"/>
      </c>
      <c r="F46" s="180">
        <f aca="true" t="shared" si="12" ref="F46:F61">IF(B46="","",C46-E46)</f>
      </c>
      <c r="G46" s="180">
        <f aca="true" t="shared" si="13" ref="G46:G61">IF(B46="","",G45+E46)</f>
      </c>
      <c r="H46" s="180">
        <f t="shared" si="2"/>
      </c>
      <c r="I46" s="184">
        <f>IF(B36="","",SUM(D36:D47))</f>
      </c>
    </row>
    <row r="47" spans="1:9" ht="15">
      <c r="A47" s="190">
        <f>IF(B47="","","Dec")</f>
      </c>
      <c r="B47" s="185">
        <f t="shared" si="6"/>
      </c>
      <c r="C47" s="186">
        <f t="shared" si="11"/>
      </c>
      <c r="D47" s="186">
        <f t="shared" si="7"/>
      </c>
      <c r="E47" s="186">
        <f t="shared" si="1"/>
      </c>
      <c r="F47" s="186">
        <f t="shared" si="12"/>
      </c>
      <c r="G47" s="186">
        <f t="shared" si="13"/>
      </c>
      <c r="H47" s="186">
        <f t="shared" si="2"/>
      </c>
      <c r="I47" s="185">
        <f>IF(B36="","","End of year 3")</f>
      </c>
    </row>
    <row r="48" spans="1:8" ht="15">
      <c r="A48" s="189">
        <f>IF(B48="","","Jan")</f>
      </c>
      <c r="B48">
        <f t="shared" si="6"/>
      </c>
      <c r="C48" s="180">
        <f t="shared" si="11"/>
      </c>
      <c r="D48" s="180">
        <f t="shared" si="7"/>
      </c>
      <c r="E48" s="180">
        <f t="shared" si="1"/>
      </c>
      <c r="F48" s="180">
        <f t="shared" si="12"/>
      </c>
      <c r="G48" s="180">
        <f t="shared" si="13"/>
      </c>
      <c r="H48" s="180">
        <f t="shared" si="2"/>
      </c>
    </row>
    <row r="49" spans="1:8" ht="15">
      <c r="A49" s="189">
        <f>IF(B49="","","Feb")</f>
      </c>
      <c r="B49">
        <f t="shared" si="6"/>
      </c>
      <c r="C49" s="180">
        <f t="shared" si="11"/>
      </c>
      <c r="D49" s="180">
        <f t="shared" si="7"/>
      </c>
      <c r="E49" s="180">
        <f t="shared" si="1"/>
      </c>
      <c r="F49" s="180">
        <f t="shared" si="12"/>
      </c>
      <c r="G49" s="180">
        <f t="shared" si="13"/>
      </c>
      <c r="H49" s="180">
        <f t="shared" si="2"/>
      </c>
    </row>
    <row r="50" spans="1:8" ht="15">
      <c r="A50" s="189">
        <f>IF(B50="","","Mar")</f>
      </c>
      <c r="B50">
        <f t="shared" si="6"/>
      </c>
      <c r="C50" s="180">
        <f t="shared" si="11"/>
      </c>
      <c r="D50" s="180">
        <f t="shared" si="7"/>
      </c>
      <c r="E50" s="180">
        <f t="shared" si="1"/>
      </c>
      <c r="F50" s="180">
        <f t="shared" si="12"/>
      </c>
      <c r="G50" s="180">
        <f t="shared" si="13"/>
      </c>
      <c r="H50" s="180">
        <f t="shared" si="2"/>
      </c>
    </row>
    <row r="51" spans="1:8" ht="15">
      <c r="A51" s="189">
        <f>IF(B51="","","Apr")</f>
      </c>
      <c r="B51">
        <f t="shared" si="6"/>
      </c>
      <c r="C51" s="180">
        <f t="shared" si="11"/>
      </c>
      <c r="D51" s="180">
        <f t="shared" si="7"/>
      </c>
      <c r="E51" s="180">
        <f t="shared" si="1"/>
      </c>
      <c r="F51" s="180">
        <f t="shared" si="12"/>
      </c>
      <c r="G51" s="180">
        <f t="shared" si="13"/>
      </c>
      <c r="H51" s="180">
        <f t="shared" si="2"/>
      </c>
    </row>
    <row r="52" spans="1:8" ht="15">
      <c r="A52" s="189">
        <f>IF(B52="","","May")</f>
      </c>
      <c r="B52">
        <f t="shared" si="6"/>
      </c>
      <c r="C52" s="180">
        <f t="shared" si="11"/>
      </c>
      <c r="D52" s="180">
        <f t="shared" si="7"/>
      </c>
      <c r="E52" s="180">
        <f t="shared" si="1"/>
      </c>
      <c r="F52" s="180">
        <f t="shared" si="12"/>
      </c>
      <c r="G52" s="180">
        <f t="shared" si="13"/>
      </c>
      <c r="H52" s="180">
        <f t="shared" si="2"/>
      </c>
    </row>
    <row r="53" spans="1:8" ht="15">
      <c r="A53" s="189">
        <f>IF(B53="","","Jun")</f>
      </c>
      <c r="B53">
        <f t="shared" si="6"/>
      </c>
      <c r="C53" s="180">
        <f t="shared" si="11"/>
      </c>
      <c r="D53" s="180">
        <f t="shared" si="7"/>
      </c>
      <c r="E53" s="180">
        <f t="shared" si="1"/>
      </c>
      <c r="F53" s="180">
        <f t="shared" si="12"/>
      </c>
      <c r="G53" s="180">
        <f t="shared" si="13"/>
      </c>
      <c r="H53" s="180">
        <f t="shared" si="2"/>
      </c>
    </row>
    <row r="54" spans="1:8" ht="15">
      <c r="A54" s="189">
        <f>IF(B54="","","Jul")</f>
      </c>
      <c r="B54">
        <f t="shared" si="6"/>
      </c>
      <c r="C54" s="180">
        <f t="shared" si="11"/>
      </c>
      <c r="D54" s="180">
        <f t="shared" si="7"/>
      </c>
      <c r="E54" s="180">
        <f t="shared" si="1"/>
      </c>
      <c r="F54" s="180">
        <f t="shared" si="12"/>
      </c>
      <c r="G54" s="180">
        <f t="shared" si="13"/>
      </c>
      <c r="H54" s="180">
        <f t="shared" si="2"/>
      </c>
    </row>
    <row r="55" spans="1:9" ht="15">
      <c r="A55" s="189">
        <f>IF(B55="","","Aug")</f>
      </c>
      <c r="B55">
        <f t="shared" si="6"/>
      </c>
      <c r="C55" s="180">
        <f t="shared" si="11"/>
      </c>
      <c r="D55" s="180">
        <f t="shared" si="7"/>
      </c>
      <c r="E55" s="180">
        <f t="shared" si="1"/>
      </c>
      <c r="F55" s="180">
        <f t="shared" si="12"/>
      </c>
      <c r="G55" s="180">
        <f t="shared" si="13"/>
      </c>
      <c r="H55" s="180">
        <f t="shared" si="2"/>
      </c>
      <c r="I55" s="183">
        <f>IF(B48="","","Principal")</f>
      </c>
    </row>
    <row r="56" spans="1:9" ht="15">
      <c r="A56" s="189">
        <f>IF(B56="","","Sep")</f>
      </c>
      <c r="B56">
        <f t="shared" si="6"/>
      </c>
      <c r="C56" s="180">
        <f t="shared" si="11"/>
      </c>
      <c r="D56" s="180">
        <f t="shared" si="7"/>
      </c>
      <c r="E56" s="180">
        <f t="shared" si="1"/>
      </c>
      <c r="F56" s="180">
        <f t="shared" si="12"/>
      </c>
      <c r="G56" s="180">
        <f t="shared" si="13"/>
      </c>
      <c r="H56" s="180">
        <f t="shared" si="2"/>
      </c>
      <c r="I56" s="184">
        <f>IF(B48="","",SUM(E48:E59))</f>
      </c>
    </row>
    <row r="57" spans="1:9" ht="15">
      <c r="A57" s="189">
        <f>IF(B57="","","Oct")</f>
      </c>
      <c r="B57">
        <f t="shared" si="6"/>
      </c>
      <c r="C57" s="180">
        <f t="shared" si="11"/>
      </c>
      <c r="D57" s="180">
        <f t="shared" si="7"/>
      </c>
      <c r="E57" s="180">
        <f t="shared" si="1"/>
      </c>
      <c r="F57" s="180">
        <f t="shared" si="12"/>
      </c>
      <c r="G57" s="180">
        <f t="shared" si="13"/>
      </c>
      <c r="H57" s="180">
        <f t="shared" si="2"/>
      </c>
      <c r="I57" s="183">
        <f>IF(B48="","","Interest")</f>
      </c>
    </row>
    <row r="58" spans="1:9" ht="15">
      <c r="A58" s="189">
        <f>IF(B58="","","Nov")</f>
      </c>
      <c r="B58">
        <f t="shared" si="6"/>
      </c>
      <c r="C58" s="180">
        <f t="shared" si="11"/>
      </c>
      <c r="D58" s="180">
        <f t="shared" si="7"/>
      </c>
      <c r="E58" s="180">
        <f t="shared" si="1"/>
      </c>
      <c r="F58" s="180">
        <f t="shared" si="12"/>
      </c>
      <c r="G58" s="180">
        <f t="shared" si="13"/>
      </c>
      <c r="H58" s="180">
        <f t="shared" si="2"/>
      </c>
      <c r="I58" s="184">
        <f>IF(B48="","",SUM(D48:D59))</f>
      </c>
    </row>
    <row r="59" spans="1:9" ht="15">
      <c r="A59" s="190">
        <f>IF(B59="","","Dec")</f>
      </c>
      <c r="B59" s="185">
        <f t="shared" si="6"/>
      </c>
      <c r="C59" s="186">
        <f t="shared" si="11"/>
      </c>
      <c r="D59" s="186">
        <f t="shared" si="7"/>
      </c>
      <c r="E59" s="186">
        <f t="shared" si="1"/>
      </c>
      <c r="F59" s="186">
        <f t="shared" si="12"/>
      </c>
      <c r="G59" s="186">
        <f t="shared" si="13"/>
      </c>
      <c r="H59" s="186">
        <f t="shared" si="2"/>
      </c>
      <c r="I59" s="185">
        <f>IF(B48="","","End of year 4")</f>
      </c>
    </row>
    <row r="60" spans="1:8" ht="15">
      <c r="A60" s="189">
        <f>IF(B60="","","Jan")</f>
      </c>
      <c r="B60">
        <f t="shared" si="6"/>
      </c>
      <c r="C60" s="180">
        <f t="shared" si="11"/>
      </c>
      <c r="D60" s="180">
        <f t="shared" si="7"/>
      </c>
      <c r="E60" s="180">
        <f t="shared" si="1"/>
      </c>
      <c r="F60" s="180">
        <f t="shared" si="12"/>
      </c>
      <c r="G60" s="180">
        <f t="shared" si="13"/>
      </c>
      <c r="H60" s="180">
        <f t="shared" si="2"/>
      </c>
    </row>
    <row r="61" spans="1:8" ht="15">
      <c r="A61" s="189">
        <f>IF(B61="","","Feb")</f>
      </c>
      <c r="B61">
        <f t="shared" si="6"/>
      </c>
      <c r="C61" s="180">
        <f t="shared" si="11"/>
      </c>
      <c r="D61" s="180">
        <f t="shared" si="7"/>
      </c>
      <c r="E61" s="180">
        <f t="shared" si="1"/>
      </c>
      <c r="F61" s="180">
        <f t="shared" si="12"/>
      </c>
      <c r="G61" s="180">
        <f t="shared" si="13"/>
      </c>
      <c r="H61" s="180">
        <f t="shared" si="2"/>
      </c>
    </row>
    <row r="62" spans="1:8" ht="15">
      <c r="A62" s="189">
        <f>IF(B62="","","Mar")</f>
      </c>
      <c r="B62">
        <f t="shared" si="6"/>
      </c>
      <c r="C62" s="180">
        <f aca="true" t="shared" si="14" ref="C62:C77">IF(B62="","",F61)</f>
      </c>
      <c r="D62" s="180">
        <f t="shared" si="7"/>
      </c>
      <c r="E62" s="180">
        <f t="shared" si="1"/>
      </c>
      <c r="F62" s="180">
        <f aca="true" t="shared" si="15" ref="F62:F77">IF(B62="","",C62-E62)</f>
      </c>
      <c r="G62" s="180">
        <f aca="true" t="shared" si="16" ref="G62:G77">IF(B62="","",G61+E62)</f>
      </c>
      <c r="H62" s="180">
        <f t="shared" si="2"/>
      </c>
    </row>
    <row r="63" spans="1:8" ht="15">
      <c r="A63" s="189">
        <f>IF(B63="","","Apr")</f>
      </c>
      <c r="B63">
        <f t="shared" si="6"/>
      </c>
      <c r="C63" s="180">
        <f t="shared" si="14"/>
      </c>
      <c r="D63" s="180">
        <f t="shared" si="7"/>
      </c>
      <c r="E63" s="180">
        <f t="shared" si="1"/>
      </c>
      <c r="F63" s="180">
        <f t="shared" si="15"/>
      </c>
      <c r="G63" s="180">
        <f t="shared" si="16"/>
      </c>
      <c r="H63" s="180">
        <f t="shared" si="2"/>
      </c>
    </row>
    <row r="64" spans="1:8" ht="15">
      <c r="A64" s="189">
        <f>IF(B64="","","May")</f>
      </c>
      <c r="B64">
        <f t="shared" si="6"/>
      </c>
      <c r="C64" s="180">
        <f t="shared" si="14"/>
      </c>
      <c r="D64" s="180">
        <f t="shared" si="7"/>
      </c>
      <c r="E64" s="180">
        <f t="shared" si="1"/>
      </c>
      <c r="F64" s="180">
        <f t="shared" si="15"/>
      </c>
      <c r="G64" s="180">
        <f t="shared" si="16"/>
      </c>
      <c r="H64" s="180">
        <f t="shared" si="2"/>
      </c>
    </row>
    <row r="65" spans="1:8" ht="15">
      <c r="A65" s="189">
        <f>IF(B65="","","Jun")</f>
      </c>
      <c r="B65">
        <f t="shared" si="6"/>
      </c>
      <c r="C65" s="180">
        <f t="shared" si="14"/>
      </c>
      <c r="D65" s="180">
        <f t="shared" si="7"/>
      </c>
      <c r="E65" s="180">
        <f t="shared" si="1"/>
      </c>
      <c r="F65" s="180">
        <f t="shared" si="15"/>
      </c>
      <c r="G65" s="180">
        <f t="shared" si="16"/>
      </c>
      <c r="H65" s="180">
        <f t="shared" si="2"/>
      </c>
    </row>
    <row r="66" spans="1:8" ht="15">
      <c r="A66" s="189">
        <f>IF(B66="","","Jul")</f>
      </c>
      <c r="B66">
        <f t="shared" si="6"/>
      </c>
      <c r="C66" s="180">
        <f t="shared" si="14"/>
      </c>
      <c r="D66" s="180">
        <f t="shared" si="7"/>
      </c>
      <c r="E66" s="180">
        <f t="shared" si="1"/>
      </c>
      <c r="F66" s="180">
        <f t="shared" si="15"/>
      </c>
      <c r="G66" s="180">
        <f t="shared" si="16"/>
      </c>
      <c r="H66" s="180">
        <f t="shared" si="2"/>
      </c>
    </row>
    <row r="67" spans="1:9" ht="15">
      <c r="A67" s="189">
        <f>IF(B67="","","Aug")</f>
      </c>
      <c r="B67">
        <f t="shared" si="6"/>
      </c>
      <c r="C67" s="180">
        <f t="shared" si="14"/>
      </c>
      <c r="D67" s="180">
        <f t="shared" si="7"/>
      </c>
      <c r="E67" s="180">
        <f t="shared" si="1"/>
      </c>
      <c r="F67" s="180">
        <f t="shared" si="15"/>
      </c>
      <c r="G67" s="180">
        <f t="shared" si="16"/>
      </c>
      <c r="H67" s="180">
        <f t="shared" si="2"/>
      </c>
      <c r="I67" s="183">
        <f>IF(B60="","","Principal")</f>
      </c>
    </row>
    <row r="68" spans="1:9" ht="15">
      <c r="A68" s="189">
        <f>IF(B68="","","Sep")</f>
      </c>
      <c r="B68">
        <f t="shared" si="6"/>
      </c>
      <c r="C68" s="180">
        <f t="shared" si="14"/>
      </c>
      <c r="D68" s="180">
        <f t="shared" si="7"/>
      </c>
      <c r="E68" s="180">
        <f t="shared" si="1"/>
      </c>
      <c r="F68" s="180">
        <f t="shared" si="15"/>
      </c>
      <c r="G68" s="180">
        <f t="shared" si="16"/>
      </c>
      <c r="H68" s="180">
        <f t="shared" si="2"/>
      </c>
      <c r="I68" s="184">
        <f>IF(B60="","",SUM(E60:E71))</f>
      </c>
    </row>
    <row r="69" spans="1:9" ht="15">
      <c r="A69" s="189">
        <f>IF(B69="","","Oct")</f>
      </c>
      <c r="B69">
        <f t="shared" si="6"/>
      </c>
      <c r="C69" s="180">
        <f t="shared" si="14"/>
      </c>
      <c r="D69" s="180">
        <f t="shared" si="7"/>
      </c>
      <c r="E69" s="180">
        <f t="shared" si="1"/>
      </c>
      <c r="F69" s="180">
        <f t="shared" si="15"/>
      </c>
      <c r="G69" s="180">
        <f t="shared" si="16"/>
      </c>
      <c r="H69" s="180">
        <f t="shared" si="2"/>
      </c>
      <c r="I69" s="183">
        <f>IF(B60="","","Interest")</f>
      </c>
    </row>
    <row r="70" spans="1:9" ht="15">
      <c r="A70" s="189">
        <f>IF(B70="","","Nov")</f>
      </c>
      <c r="B70">
        <f t="shared" si="6"/>
      </c>
      <c r="C70" s="180">
        <f t="shared" si="14"/>
      </c>
      <c r="D70" s="180">
        <f t="shared" si="7"/>
      </c>
      <c r="E70" s="180">
        <f t="shared" si="1"/>
      </c>
      <c r="F70" s="180">
        <f t="shared" si="15"/>
      </c>
      <c r="G70" s="180">
        <f t="shared" si="16"/>
      </c>
      <c r="H70" s="180">
        <f t="shared" si="2"/>
      </c>
      <c r="I70" s="184">
        <f>IF(B60="","",SUM(D60:D71))</f>
      </c>
    </row>
    <row r="71" spans="1:9" ht="15">
      <c r="A71" s="190">
        <f>IF(B71="","","Dec")</f>
      </c>
      <c r="B71" s="185">
        <f t="shared" si="6"/>
      </c>
      <c r="C71" s="186">
        <f t="shared" si="14"/>
      </c>
      <c r="D71" s="186">
        <f t="shared" si="7"/>
      </c>
      <c r="E71" s="186">
        <f t="shared" si="1"/>
      </c>
      <c r="F71" s="186">
        <f t="shared" si="15"/>
      </c>
      <c r="G71" s="186">
        <f t="shared" si="16"/>
      </c>
      <c r="H71" s="186">
        <f t="shared" si="2"/>
      </c>
      <c r="I71" s="185">
        <f>IF(B60="","","End of year 5")</f>
      </c>
    </row>
    <row r="72" spans="1:8" ht="15">
      <c r="A72" s="189">
        <f>IF(B72="","","Jan")</f>
      </c>
      <c r="B72">
        <f t="shared" si="6"/>
      </c>
      <c r="C72" s="180">
        <f t="shared" si="14"/>
      </c>
      <c r="D72" s="180">
        <f t="shared" si="7"/>
      </c>
      <c r="E72" s="180">
        <f t="shared" si="1"/>
      </c>
      <c r="F72" s="180">
        <f t="shared" si="15"/>
      </c>
      <c r="G72" s="180">
        <f t="shared" si="16"/>
      </c>
      <c r="H72" s="180">
        <f t="shared" si="2"/>
      </c>
    </row>
    <row r="73" spans="1:8" ht="15">
      <c r="A73" s="189">
        <f>IF(B73="","","Feb")</f>
      </c>
      <c r="B73">
        <f t="shared" si="6"/>
      </c>
      <c r="C73" s="180">
        <f t="shared" si="14"/>
      </c>
      <c r="D73" s="180">
        <f t="shared" si="7"/>
      </c>
      <c r="E73" s="180">
        <f t="shared" si="1"/>
      </c>
      <c r="F73" s="180">
        <f t="shared" si="15"/>
      </c>
      <c r="G73" s="180">
        <f t="shared" si="16"/>
      </c>
      <c r="H73" s="180">
        <f t="shared" si="2"/>
      </c>
    </row>
    <row r="74" spans="1:8" ht="15">
      <c r="A74" s="189">
        <f>IF(B74="","","Mar")</f>
      </c>
      <c r="B74">
        <f t="shared" si="6"/>
      </c>
      <c r="C74" s="180">
        <f t="shared" si="14"/>
      </c>
      <c r="D74" s="180">
        <f t="shared" si="7"/>
      </c>
      <c r="E74" s="180">
        <f t="shared" si="1"/>
      </c>
      <c r="F74" s="180">
        <f t="shared" si="15"/>
      </c>
      <c r="G74" s="180">
        <f t="shared" si="16"/>
      </c>
      <c r="H74" s="180">
        <f t="shared" si="2"/>
      </c>
    </row>
    <row r="75" spans="1:8" ht="15">
      <c r="A75" s="189">
        <f>IF(B75="","","Apr")</f>
      </c>
      <c r="B75">
        <f t="shared" si="6"/>
      </c>
      <c r="C75" s="180">
        <f t="shared" si="14"/>
      </c>
      <c r="D75" s="180">
        <f t="shared" si="7"/>
      </c>
      <c r="E75" s="180">
        <f t="shared" si="1"/>
      </c>
      <c r="F75" s="180">
        <f t="shared" si="15"/>
      </c>
      <c r="G75" s="180">
        <f t="shared" si="16"/>
      </c>
      <c r="H75" s="180">
        <f t="shared" si="2"/>
      </c>
    </row>
    <row r="76" spans="1:8" ht="15">
      <c r="A76" s="189">
        <f>IF(B76="","","May")</f>
      </c>
      <c r="B76">
        <f t="shared" si="6"/>
      </c>
      <c r="C76" s="180">
        <f t="shared" si="14"/>
      </c>
      <c r="D76" s="180">
        <f t="shared" si="7"/>
      </c>
      <c r="E76" s="180">
        <f t="shared" si="1"/>
      </c>
      <c r="F76" s="180">
        <f t="shared" si="15"/>
      </c>
      <c r="G76" s="180">
        <f t="shared" si="16"/>
      </c>
      <c r="H76" s="180">
        <f t="shared" si="2"/>
      </c>
    </row>
    <row r="77" spans="1:8" ht="15">
      <c r="A77" s="189">
        <f>IF(B77="","","Jun")</f>
      </c>
      <c r="B77">
        <f t="shared" si="6"/>
      </c>
      <c r="C77" s="180">
        <f t="shared" si="14"/>
      </c>
      <c r="D77" s="180">
        <f t="shared" si="7"/>
      </c>
      <c r="E77" s="180">
        <f aca="true" t="shared" si="17" ref="E77:E140">IF(B77="","",IF(C77+D77&lt;($G$3+$C$7),(C77+D77)-D77,($G$3+$C$7)-D77))</f>
      </c>
      <c r="F77" s="180">
        <f t="shared" si="15"/>
      </c>
      <c r="G77" s="180">
        <f t="shared" si="16"/>
      </c>
      <c r="H77" s="180">
        <f aca="true" t="shared" si="18" ref="H77:H140">IF(B77="","",H76+D77)</f>
      </c>
    </row>
    <row r="78" spans="1:8" ht="15">
      <c r="A78" s="189">
        <f>IF(B78="","","Jul")</f>
      </c>
      <c r="B78">
        <f t="shared" si="6"/>
      </c>
      <c r="C78" s="180">
        <f aca="true" t="shared" si="19" ref="C78:C93">IF(B78="","",F77)</f>
      </c>
      <c r="D78" s="180">
        <f t="shared" si="7"/>
      </c>
      <c r="E78" s="180">
        <f t="shared" si="17"/>
      </c>
      <c r="F78" s="180">
        <f aca="true" t="shared" si="20" ref="F78:F93">IF(B78="","",C78-E78)</f>
      </c>
      <c r="G78" s="180">
        <f aca="true" t="shared" si="21" ref="G78:G93">IF(B78="","",G77+E78)</f>
      </c>
      <c r="H78" s="180">
        <f t="shared" si="18"/>
      </c>
    </row>
    <row r="79" spans="1:9" ht="15">
      <c r="A79" s="189">
        <f>IF(B79="","","Aug")</f>
      </c>
      <c r="B79">
        <f t="shared" si="6"/>
      </c>
      <c r="C79" s="180">
        <f t="shared" si="19"/>
      </c>
      <c r="D79" s="180">
        <f t="shared" si="7"/>
      </c>
      <c r="E79" s="180">
        <f t="shared" si="17"/>
      </c>
      <c r="F79" s="180">
        <f t="shared" si="20"/>
      </c>
      <c r="G79" s="180">
        <f t="shared" si="21"/>
      </c>
      <c r="H79" s="180">
        <f t="shared" si="18"/>
      </c>
      <c r="I79" s="183">
        <f>IF(B72="","","Principal")</f>
      </c>
    </row>
    <row r="80" spans="1:9" ht="15">
      <c r="A80" s="189">
        <f>IF(B80="","","Sep")</f>
      </c>
      <c r="B80">
        <f t="shared" si="6"/>
      </c>
      <c r="C80" s="180">
        <f t="shared" si="19"/>
      </c>
      <c r="D80" s="180">
        <f t="shared" si="7"/>
      </c>
      <c r="E80" s="180">
        <f t="shared" si="17"/>
      </c>
      <c r="F80" s="180">
        <f t="shared" si="20"/>
      </c>
      <c r="G80" s="180">
        <f t="shared" si="21"/>
      </c>
      <c r="H80" s="180">
        <f t="shared" si="18"/>
      </c>
      <c r="I80" s="184">
        <f>IF(B72="","",SUM(E72:E83))</f>
      </c>
    </row>
    <row r="81" spans="1:9" ht="15">
      <c r="A81" s="189">
        <f>IF(B81="","","Oct")</f>
      </c>
      <c r="B81">
        <f t="shared" si="6"/>
      </c>
      <c r="C81" s="180">
        <f t="shared" si="19"/>
      </c>
      <c r="D81" s="180">
        <f t="shared" si="7"/>
      </c>
      <c r="E81" s="180">
        <f t="shared" si="17"/>
      </c>
      <c r="F81" s="180">
        <f t="shared" si="20"/>
      </c>
      <c r="G81" s="180">
        <f t="shared" si="21"/>
      </c>
      <c r="H81" s="180">
        <f t="shared" si="18"/>
      </c>
      <c r="I81" s="183">
        <f>IF(B72="","","Interest")</f>
      </c>
    </row>
    <row r="82" spans="1:9" ht="15">
      <c r="A82" s="189">
        <f>IF(B82="","","Nov")</f>
      </c>
      <c r="B82">
        <f t="shared" si="6"/>
      </c>
      <c r="C82" s="180">
        <f t="shared" si="19"/>
      </c>
      <c r="D82" s="180">
        <f t="shared" si="7"/>
      </c>
      <c r="E82" s="180">
        <f t="shared" si="17"/>
      </c>
      <c r="F82" s="180">
        <f t="shared" si="20"/>
      </c>
      <c r="G82" s="180">
        <f t="shared" si="21"/>
      </c>
      <c r="H82" s="180">
        <f t="shared" si="18"/>
      </c>
      <c r="I82" s="184">
        <f>IF(B72="","",SUM(D72:D83))</f>
      </c>
    </row>
    <row r="83" spans="1:9" ht="15">
      <c r="A83" s="190">
        <f>IF(B83="","","Dec")</f>
      </c>
      <c r="B83" s="185">
        <f t="shared" si="6"/>
      </c>
      <c r="C83" s="186">
        <f t="shared" si="19"/>
      </c>
      <c r="D83" s="186">
        <f t="shared" si="7"/>
      </c>
      <c r="E83" s="186">
        <f t="shared" si="17"/>
      </c>
      <c r="F83" s="186">
        <f t="shared" si="20"/>
      </c>
      <c r="G83" s="186">
        <f t="shared" si="21"/>
      </c>
      <c r="H83" s="186">
        <f t="shared" si="18"/>
      </c>
      <c r="I83" s="185">
        <f>IF(B72="","","End of year 6")</f>
      </c>
    </row>
    <row r="84" spans="1:8" ht="15">
      <c r="A84" s="189">
        <f>IF(B84="","","Jan")</f>
      </c>
      <c r="B84">
        <f t="shared" si="6"/>
      </c>
      <c r="C84" s="180">
        <f t="shared" si="19"/>
      </c>
      <c r="D84" s="180">
        <f t="shared" si="7"/>
      </c>
      <c r="E84" s="180">
        <f t="shared" si="17"/>
      </c>
      <c r="F84" s="180">
        <f t="shared" si="20"/>
      </c>
      <c r="G84" s="180">
        <f t="shared" si="21"/>
      </c>
      <c r="H84" s="180">
        <f t="shared" si="18"/>
      </c>
    </row>
    <row r="85" spans="1:8" ht="15">
      <c r="A85" s="189">
        <f>IF(B85="","","Feb")</f>
      </c>
      <c r="B85">
        <f t="shared" si="6"/>
      </c>
      <c r="C85" s="180">
        <f t="shared" si="19"/>
      </c>
      <c r="D85" s="180">
        <f t="shared" si="7"/>
      </c>
      <c r="E85" s="180">
        <f t="shared" si="17"/>
      </c>
      <c r="F85" s="180">
        <f t="shared" si="20"/>
      </c>
      <c r="G85" s="180">
        <f t="shared" si="21"/>
      </c>
      <c r="H85" s="180">
        <f t="shared" si="18"/>
      </c>
    </row>
    <row r="86" spans="1:8" ht="15">
      <c r="A86" s="189">
        <f>IF(B86="","","Mar")</f>
      </c>
      <c r="B86">
        <f t="shared" si="6"/>
      </c>
      <c r="C86" s="180">
        <f t="shared" si="19"/>
      </c>
      <c r="D86" s="180">
        <f t="shared" si="7"/>
      </c>
      <c r="E86" s="180">
        <f t="shared" si="17"/>
      </c>
      <c r="F86" s="180">
        <f t="shared" si="20"/>
      </c>
      <c r="G86" s="180">
        <f t="shared" si="21"/>
      </c>
      <c r="H86" s="180">
        <f t="shared" si="18"/>
      </c>
    </row>
    <row r="87" spans="1:8" ht="15">
      <c r="A87" s="189">
        <f>IF(B87="","","Apr")</f>
      </c>
      <c r="B87">
        <f t="shared" si="6"/>
      </c>
      <c r="C87" s="180">
        <f t="shared" si="19"/>
      </c>
      <c r="D87" s="180">
        <f t="shared" si="7"/>
      </c>
      <c r="E87" s="180">
        <f t="shared" si="17"/>
      </c>
      <c r="F87" s="180">
        <f t="shared" si="20"/>
      </c>
      <c r="G87" s="180">
        <f t="shared" si="21"/>
      </c>
      <c r="H87" s="180">
        <f t="shared" si="18"/>
      </c>
    </row>
    <row r="88" spans="1:8" ht="15">
      <c r="A88" s="189">
        <f>IF(B88="","","May")</f>
      </c>
      <c r="B88">
        <f t="shared" si="6"/>
      </c>
      <c r="C88" s="180">
        <f t="shared" si="19"/>
      </c>
      <c r="D88" s="180">
        <f t="shared" si="7"/>
      </c>
      <c r="E88" s="180">
        <f t="shared" si="17"/>
      </c>
      <c r="F88" s="180">
        <f t="shared" si="20"/>
      </c>
      <c r="G88" s="180">
        <f t="shared" si="21"/>
      </c>
      <c r="H88" s="180">
        <f t="shared" si="18"/>
      </c>
    </row>
    <row r="89" spans="1:8" ht="15">
      <c r="A89" s="189">
        <f>IF(B89="","","Jun")</f>
      </c>
      <c r="B89">
        <f aca="true" t="shared" si="22" ref="B89:B152">IF(B88=ABS($C$5),"",IF(B88="","",IF(G88&gt;=$C$3,"",B88+1)))</f>
      </c>
      <c r="C89" s="180">
        <f t="shared" si="19"/>
      </c>
      <c r="D89" s="180">
        <f t="shared" si="7"/>
      </c>
      <c r="E89" s="180">
        <f t="shared" si="17"/>
      </c>
      <c r="F89" s="180">
        <f t="shared" si="20"/>
      </c>
      <c r="G89" s="180">
        <f t="shared" si="21"/>
      </c>
      <c r="H89" s="180">
        <f t="shared" si="18"/>
      </c>
    </row>
    <row r="90" spans="1:8" ht="15">
      <c r="A90" s="189">
        <f>IF(B90="","","Jul")</f>
      </c>
      <c r="B90">
        <f t="shared" si="22"/>
      </c>
      <c r="C90" s="180">
        <f t="shared" si="19"/>
      </c>
      <c r="D90" s="180">
        <f aca="true" t="shared" si="23" ref="D90:D153">IF(B90="","",C90*(($C$4/100)/12))</f>
      </c>
      <c r="E90" s="180">
        <f t="shared" si="17"/>
      </c>
      <c r="F90" s="180">
        <f t="shared" si="20"/>
      </c>
      <c r="G90" s="180">
        <f t="shared" si="21"/>
      </c>
      <c r="H90" s="180">
        <f t="shared" si="18"/>
      </c>
    </row>
    <row r="91" spans="1:9" ht="15">
      <c r="A91" s="189">
        <f>IF(B91="","","Aug")</f>
      </c>
      <c r="B91">
        <f t="shared" si="22"/>
      </c>
      <c r="C91" s="180">
        <f t="shared" si="19"/>
      </c>
      <c r="D91" s="180">
        <f t="shared" si="23"/>
      </c>
      <c r="E91" s="180">
        <f t="shared" si="17"/>
      </c>
      <c r="F91" s="180">
        <f t="shared" si="20"/>
      </c>
      <c r="G91" s="180">
        <f t="shared" si="21"/>
      </c>
      <c r="H91" s="180">
        <f t="shared" si="18"/>
      </c>
      <c r="I91" s="183">
        <f>IF(B84="","","Principal")</f>
      </c>
    </row>
    <row r="92" spans="1:9" ht="15">
      <c r="A92" s="189">
        <f>IF(B92="","","Sep")</f>
      </c>
      <c r="B92">
        <f t="shared" si="22"/>
      </c>
      <c r="C92" s="180">
        <f t="shared" si="19"/>
      </c>
      <c r="D92" s="180">
        <f t="shared" si="23"/>
      </c>
      <c r="E92" s="180">
        <f t="shared" si="17"/>
      </c>
      <c r="F92" s="180">
        <f t="shared" si="20"/>
      </c>
      <c r="G92" s="180">
        <f t="shared" si="21"/>
      </c>
      <c r="H92" s="180">
        <f t="shared" si="18"/>
      </c>
      <c r="I92" s="184">
        <f>IF(B84="","",SUM(E84:E95))</f>
      </c>
    </row>
    <row r="93" spans="1:9" ht="15">
      <c r="A93" s="189">
        <f>IF(B93="","","Oct")</f>
      </c>
      <c r="B93">
        <f t="shared" si="22"/>
      </c>
      <c r="C93" s="180">
        <f t="shared" si="19"/>
      </c>
      <c r="D93" s="180">
        <f t="shared" si="23"/>
      </c>
      <c r="E93" s="180">
        <f t="shared" si="17"/>
      </c>
      <c r="F93" s="180">
        <f t="shared" si="20"/>
      </c>
      <c r="G93" s="180">
        <f t="shared" si="21"/>
      </c>
      <c r="H93" s="180">
        <f t="shared" si="18"/>
      </c>
      <c r="I93" s="183">
        <f>IF(B84="","","Interest")</f>
      </c>
    </row>
    <row r="94" spans="1:9" ht="15">
      <c r="A94" s="189">
        <f>IF(B94="","","Nov")</f>
      </c>
      <c r="B94">
        <f t="shared" si="22"/>
      </c>
      <c r="C94" s="180">
        <f aca="true" t="shared" si="24" ref="C94:C109">IF(B94="","",F93)</f>
      </c>
      <c r="D94" s="180">
        <f t="shared" si="23"/>
      </c>
      <c r="E94" s="180">
        <f t="shared" si="17"/>
      </c>
      <c r="F94" s="180">
        <f aca="true" t="shared" si="25" ref="F94:F109">IF(B94="","",C94-E94)</f>
      </c>
      <c r="G94" s="180">
        <f aca="true" t="shared" si="26" ref="G94:G109">IF(B94="","",G93+E94)</f>
      </c>
      <c r="H94" s="180">
        <f t="shared" si="18"/>
      </c>
      <c r="I94" s="184">
        <f>IF(B84="","",SUM(D84:D95))</f>
      </c>
    </row>
    <row r="95" spans="1:9" ht="15">
      <c r="A95" s="190">
        <f>IF(B95="","","Dec")</f>
      </c>
      <c r="B95" s="185">
        <f t="shared" si="22"/>
      </c>
      <c r="C95" s="186">
        <f t="shared" si="24"/>
      </c>
      <c r="D95" s="186">
        <f t="shared" si="23"/>
      </c>
      <c r="E95" s="186">
        <f t="shared" si="17"/>
      </c>
      <c r="F95" s="186">
        <f t="shared" si="25"/>
      </c>
      <c r="G95" s="186">
        <f t="shared" si="26"/>
      </c>
      <c r="H95" s="186">
        <f t="shared" si="18"/>
      </c>
      <c r="I95" s="185">
        <f>IF(B84="","","End of year 7")</f>
      </c>
    </row>
    <row r="96" spans="1:8" ht="15">
      <c r="A96" s="189">
        <f>IF(B96="","","Jan")</f>
      </c>
      <c r="B96">
        <f t="shared" si="22"/>
      </c>
      <c r="C96" s="180">
        <f t="shared" si="24"/>
      </c>
      <c r="D96" s="180">
        <f t="shared" si="23"/>
      </c>
      <c r="E96" s="180">
        <f t="shared" si="17"/>
      </c>
      <c r="F96" s="180">
        <f t="shared" si="25"/>
      </c>
      <c r="G96" s="180">
        <f t="shared" si="26"/>
      </c>
      <c r="H96" s="180">
        <f t="shared" si="18"/>
      </c>
    </row>
    <row r="97" spans="1:8" ht="15">
      <c r="A97" s="189">
        <f>IF(B97="","","Feb")</f>
      </c>
      <c r="B97">
        <f t="shared" si="22"/>
      </c>
      <c r="C97" s="180">
        <f t="shared" si="24"/>
      </c>
      <c r="D97" s="180">
        <f t="shared" si="23"/>
      </c>
      <c r="E97" s="180">
        <f t="shared" si="17"/>
      </c>
      <c r="F97" s="180">
        <f t="shared" si="25"/>
      </c>
      <c r="G97" s="180">
        <f t="shared" si="26"/>
      </c>
      <c r="H97" s="180">
        <f t="shared" si="18"/>
      </c>
    </row>
    <row r="98" spans="1:8" ht="15">
      <c r="A98" s="189">
        <f>IF(B98="","","Mar")</f>
      </c>
      <c r="B98">
        <f t="shared" si="22"/>
      </c>
      <c r="C98" s="180">
        <f t="shared" si="24"/>
      </c>
      <c r="D98" s="180">
        <f t="shared" si="23"/>
      </c>
      <c r="E98" s="180">
        <f t="shared" si="17"/>
      </c>
      <c r="F98" s="180">
        <f t="shared" si="25"/>
      </c>
      <c r="G98" s="180">
        <f t="shared" si="26"/>
      </c>
      <c r="H98" s="180">
        <f t="shared" si="18"/>
      </c>
    </row>
    <row r="99" spans="1:8" ht="15">
      <c r="A99" s="189">
        <f>IF(B99="","","Apr")</f>
      </c>
      <c r="B99">
        <f t="shared" si="22"/>
      </c>
      <c r="C99" s="180">
        <f t="shared" si="24"/>
      </c>
      <c r="D99" s="180">
        <f t="shared" si="23"/>
      </c>
      <c r="E99" s="180">
        <f t="shared" si="17"/>
      </c>
      <c r="F99" s="180">
        <f t="shared" si="25"/>
      </c>
      <c r="G99" s="180">
        <f t="shared" si="26"/>
      </c>
      <c r="H99" s="180">
        <f t="shared" si="18"/>
      </c>
    </row>
    <row r="100" spans="1:8" ht="15">
      <c r="A100" s="189">
        <f>IF(B100="","","May")</f>
      </c>
      <c r="B100">
        <f t="shared" si="22"/>
      </c>
      <c r="C100" s="180">
        <f t="shared" si="24"/>
      </c>
      <c r="D100" s="180">
        <f t="shared" si="23"/>
      </c>
      <c r="E100" s="180">
        <f t="shared" si="17"/>
      </c>
      <c r="F100" s="180">
        <f t="shared" si="25"/>
      </c>
      <c r="G100" s="180">
        <f t="shared" si="26"/>
      </c>
      <c r="H100" s="180">
        <f t="shared" si="18"/>
      </c>
    </row>
    <row r="101" spans="1:8" ht="15">
      <c r="A101" s="189">
        <f>IF(B101="","","Jun")</f>
      </c>
      <c r="B101">
        <f t="shared" si="22"/>
      </c>
      <c r="C101" s="180">
        <f t="shared" si="24"/>
      </c>
      <c r="D101" s="180">
        <f t="shared" si="23"/>
      </c>
      <c r="E101" s="180">
        <f t="shared" si="17"/>
      </c>
      <c r="F101" s="180">
        <f t="shared" si="25"/>
      </c>
      <c r="G101" s="180">
        <f t="shared" si="26"/>
      </c>
      <c r="H101" s="180">
        <f t="shared" si="18"/>
      </c>
    </row>
    <row r="102" spans="1:8" ht="15">
      <c r="A102" s="189">
        <f>IF(B102="","","Jul")</f>
      </c>
      <c r="B102">
        <f t="shared" si="22"/>
      </c>
      <c r="C102" s="180">
        <f t="shared" si="24"/>
      </c>
      <c r="D102" s="180">
        <f t="shared" si="23"/>
      </c>
      <c r="E102" s="180">
        <f t="shared" si="17"/>
      </c>
      <c r="F102" s="180">
        <f t="shared" si="25"/>
      </c>
      <c r="G102" s="180">
        <f t="shared" si="26"/>
      </c>
      <c r="H102" s="180">
        <f t="shared" si="18"/>
      </c>
    </row>
    <row r="103" spans="1:9" ht="15">
      <c r="A103" s="189">
        <f>IF(B103="","","Aug")</f>
      </c>
      <c r="B103">
        <f t="shared" si="22"/>
      </c>
      <c r="C103" s="180">
        <f t="shared" si="24"/>
      </c>
      <c r="D103" s="180">
        <f t="shared" si="23"/>
      </c>
      <c r="E103" s="180">
        <f t="shared" si="17"/>
      </c>
      <c r="F103" s="180">
        <f t="shared" si="25"/>
      </c>
      <c r="G103" s="180">
        <f t="shared" si="26"/>
      </c>
      <c r="H103" s="180">
        <f t="shared" si="18"/>
      </c>
      <c r="I103" s="183">
        <f>IF(B96="","","Principal")</f>
      </c>
    </row>
    <row r="104" spans="1:9" ht="15">
      <c r="A104" s="189">
        <f>IF(B104="","","Sep")</f>
      </c>
      <c r="B104">
        <f t="shared" si="22"/>
      </c>
      <c r="C104" s="180">
        <f t="shared" si="24"/>
      </c>
      <c r="D104" s="180">
        <f t="shared" si="23"/>
      </c>
      <c r="E104" s="180">
        <f t="shared" si="17"/>
      </c>
      <c r="F104" s="180">
        <f t="shared" si="25"/>
      </c>
      <c r="G104" s="180">
        <f t="shared" si="26"/>
      </c>
      <c r="H104" s="180">
        <f t="shared" si="18"/>
      </c>
      <c r="I104" s="184">
        <f>IF(B96="","",SUM(E96:E107))</f>
      </c>
    </row>
    <row r="105" spans="1:9" ht="15">
      <c r="A105" s="189">
        <f>IF(B105="","","Oct")</f>
      </c>
      <c r="B105">
        <f t="shared" si="22"/>
      </c>
      <c r="C105" s="180">
        <f t="shared" si="24"/>
      </c>
      <c r="D105" s="180">
        <f t="shared" si="23"/>
      </c>
      <c r="E105" s="180">
        <f t="shared" si="17"/>
      </c>
      <c r="F105" s="180">
        <f t="shared" si="25"/>
      </c>
      <c r="G105" s="180">
        <f t="shared" si="26"/>
      </c>
      <c r="H105" s="180">
        <f t="shared" si="18"/>
      </c>
      <c r="I105" s="183">
        <f>IF(B96="","","Interest")</f>
      </c>
    </row>
    <row r="106" spans="1:9" ht="15">
      <c r="A106" s="189">
        <f>IF(B106="","","Nov")</f>
      </c>
      <c r="B106">
        <f t="shared" si="22"/>
      </c>
      <c r="C106" s="180">
        <f t="shared" si="24"/>
      </c>
      <c r="D106" s="180">
        <f t="shared" si="23"/>
      </c>
      <c r="E106" s="180">
        <f t="shared" si="17"/>
      </c>
      <c r="F106" s="180">
        <f t="shared" si="25"/>
      </c>
      <c r="G106" s="180">
        <f t="shared" si="26"/>
      </c>
      <c r="H106" s="180">
        <f t="shared" si="18"/>
      </c>
      <c r="I106" s="184">
        <f>IF(B96="","",SUM(D96:D107))</f>
      </c>
    </row>
    <row r="107" spans="1:9" ht="15">
      <c r="A107" s="190">
        <f>IF(B107="","","Dec")</f>
      </c>
      <c r="B107" s="185">
        <f t="shared" si="22"/>
      </c>
      <c r="C107" s="186">
        <f t="shared" si="24"/>
      </c>
      <c r="D107" s="186">
        <f t="shared" si="23"/>
      </c>
      <c r="E107" s="186">
        <f t="shared" si="17"/>
      </c>
      <c r="F107" s="186">
        <f t="shared" si="25"/>
      </c>
      <c r="G107" s="186">
        <f t="shared" si="26"/>
      </c>
      <c r="H107" s="186">
        <f t="shared" si="18"/>
      </c>
      <c r="I107" s="185">
        <f>IF(B96="","","End of year 8")</f>
      </c>
    </row>
    <row r="108" spans="1:8" ht="15">
      <c r="A108" s="189">
        <f>IF(B108="","","Jan")</f>
      </c>
      <c r="B108">
        <f t="shared" si="22"/>
      </c>
      <c r="C108" s="180">
        <f t="shared" si="24"/>
      </c>
      <c r="D108" s="180">
        <f t="shared" si="23"/>
      </c>
      <c r="E108" s="180">
        <f t="shared" si="17"/>
      </c>
      <c r="F108" s="180">
        <f t="shared" si="25"/>
      </c>
      <c r="G108" s="180">
        <f t="shared" si="26"/>
      </c>
      <c r="H108" s="180">
        <f t="shared" si="18"/>
      </c>
    </row>
    <row r="109" spans="1:8" ht="15">
      <c r="A109" s="189">
        <f>IF(B109="","","Feb")</f>
      </c>
      <c r="B109">
        <f t="shared" si="22"/>
      </c>
      <c r="C109" s="180">
        <f t="shared" si="24"/>
      </c>
      <c r="D109" s="180">
        <f t="shared" si="23"/>
      </c>
      <c r="E109" s="180">
        <f t="shared" si="17"/>
      </c>
      <c r="F109" s="180">
        <f t="shared" si="25"/>
      </c>
      <c r="G109" s="180">
        <f t="shared" si="26"/>
      </c>
      <c r="H109" s="180">
        <f t="shared" si="18"/>
      </c>
    </row>
    <row r="110" spans="1:8" ht="15">
      <c r="A110" s="189">
        <f>IF(B110="","","Mar")</f>
      </c>
      <c r="B110">
        <f t="shared" si="22"/>
      </c>
      <c r="C110" s="180">
        <f aca="true" t="shared" si="27" ref="C110:C125">IF(B110="","",F109)</f>
      </c>
      <c r="D110" s="180">
        <f t="shared" si="23"/>
      </c>
      <c r="E110" s="180">
        <f t="shared" si="17"/>
      </c>
      <c r="F110" s="180">
        <f aca="true" t="shared" si="28" ref="F110:F125">IF(B110="","",C110-E110)</f>
      </c>
      <c r="G110" s="180">
        <f aca="true" t="shared" si="29" ref="G110:G125">IF(B110="","",G109+E110)</f>
      </c>
      <c r="H110" s="180">
        <f t="shared" si="18"/>
      </c>
    </row>
    <row r="111" spans="1:8" ht="15">
      <c r="A111" s="189">
        <f>IF(B111="","","Apr")</f>
      </c>
      <c r="B111">
        <f t="shared" si="22"/>
      </c>
      <c r="C111" s="180">
        <f t="shared" si="27"/>
      </c>
      <c r="D111" s="180">
        <f t="shared" si="23"/>
      </c>
      <c r="E111" s="180">
        <f t="shared" si="17"/>
      </c>
      <c r="F111" s="180">
        <f t="shared" si="28"/>
      </c>
      <c r="G111" s="180">
        <f t="shared" si="29"/>
      </c>
      <c r="H111" s="180">
        <f t="shared" si="18"/>
      </c>
    </row>
    <row r="112" spans="1:8" ht="15">
      <c r="A112" s="189">
        <f>IF(B112="","","May")</f>
      </c>
      <c r="B112">
        <f t="shared" si="22"/>
      </c>
      <c r="C112" s="180">
        <f t="shared" si="27"/>
      </c>
      <c r="D112" s="180">
        <f t="shared" si="23"/>
      </c>
      <c r="E112" s="180">
        <f t="shared" si="17"/>
      </c>
      <c r="F112" s="180">
        <f t="shared" si="28"/>
      </c>
      <c r="G112" s="180">
        <f t="shared" si="29"/>
      </c>
      <c r="H112" s="180">
        <f t="shared" si="18"/>
      </c>
    </row>
    <row r="113" spans="1:8" ht="15">
      <c r="A113" s="189">
        <f>IF(B113="","","Jun")</f>
      </c>
      <c r="B113">
        <f t="shared" si="22"/>
      </c>
      <c r="C113" s="180">
        <f t="shared" si="27"/>
      </c>
      <c r="D113" s="180">
        <f t="shared" si="23"/>
      </c>
      <c r="E113" s="180">
        <f t="shared" si="17"/>
      </c>
      <c r="F113" s="180">
        <f t="shared" si="28"/>
      </c>
      <c r="G113" s="180">
        <f t="shared" si="29"/>
      </c>
      <c r="H113" s="180">
        <f t="shared" si="18"/>
      </c>
    </row>
    <row r="114" spans="1:8" ht="15">
      <c r="A114" s="189">
        <f>IF(B114="","","Jul")</f>
      </c>
      <c r="B114">
        <f t="shared" si="22"/>
      </c>
      <c r="C114" s="180">
        <f t="shared" si="27"/>
      </c>
      <c r="D114" s="180">
        <f t="shared" si="23"/>
      </c>
      <c r="E114" s="180">
        <f t="shared" si="17"/>
      </c>
      <c r="F114" s="180">
        <f t="shared" si="28"/>
      </c>
      <c r="G114" s="180">
        <f t="shared" si="29"/>
      </c>
      <c r="H114" s="180">
        <f t="shared" si="18"/>
      </c>
    </row>
    <row r="115" spans="1:9" ht="15">
      <c r="A115" s="189">
        <f>IF(B115="","","Aug")</f>
      </c>
      <c r="B115">
        <f t="shared" si="22"/>
      </c>
      <c r="C115" s="180">
        <f t="shared" si="27"/>
      </c>
      <c r="D115" s="180">
        <f t="shared" si="23"/>
      </c>
      <c r="E115" s="180">
        <f t="shared" si="17"/>
      </c>
      <c r="F115" s="180">
        <f t="shared" si="28"/>
      </c>
      <c r="G115" s="180">
        <f t="shared" si="29"/>
      </c>
      <c r="H115" s="180">
        <f t="shared" si="18"/>
      </c>
      <c r="I115" s="183">
        <f>IF(B108="","","Principal")</f>
      </c>
    </row>
    <row r="116" spans="1:9" ht="15">
      <c r="A116" s="189">
        <f>IF(B116="","","Sep")</f>
      </c>
      <c r="B116">
        <f t="shared" si="22"/>
      </c>
      <c r="C116" s="180">
        <f t="shared" si="27"/>
      </c>
      <c r="D116" s="180">
        <f t="shared" si="23"/>
      </c>
      <c r="E116" s="180">
        <f t="shared" si="17"/>
      </c>
      <c r="F116" s="180">
        <f t="shared" si="28"/>
      </c>
      <c r="G116" s="180">
        <f t="shared" si="29"/>
      </c>
      <c r="H116" s="180">
        <f t="shared" si="18"/>
      </c>
      <c r="I116" s="184">
        <f>IF(B108="","",SUM(E108:E119))</f>
      </c>
    </row>
    <row r="117" spans="1:9" ht="15">
      <c r="A117" s="189">
        <f>IF(B117="","","Oct")</f>
      </c>
      <c r="B117">
        <f t="shared" si="22"/>
      </c>
      <c r="C117" s="180">
        <f t="shared" si="27"/>
      </c>
      <c r="D117" s="180">
        <f t="shared" si="23"/>
      </c>
      <c r="E117" s="180">
        <f t="shared" si="17"/>
      </c>
      <c r="F117" s="180">
        <f t="shared" si="28"/>
      </c>
      <c r="G117" s="180">
        <f t="shared" si="29"/>
      </c>
      <c r="H117" s="180">
        <f t="shared" si="18"/>
      </c>
      <c r="I117" s="183">
        <f>IF(B108="","","Interest")</f>
      </c>
    </row>
    <row r="118" spans="1:9" ht="15">
      <c r="A118" s="189">
        <f>IF(B118="","","Nov")</f>
      </c>
      <c r="B118">
        <f t="shared" si="22"/>
      </c>
      <c r="C118" s="180">
        <f t="shared" si="27"/>
      </c>
      <c r="D118" s="180">
        <f t="shared" si="23"/>
      </c>
      <c r="E118" s="180">
        <f t="shared" si="17"/>
      </c>
      <c r="F118" s="180">
        <f t="shared" si="28"/>
      </c>
      <c r="G118" s="180">
        <f t="shared" si="29"/>
      </c>
      <c r="H118" s="180">
        <f t="shared" si="18"/>
      </c>
      <c r="I118" s="184">
        <f>IF(B108="","",SUM(D108:D119))</f>
      </c>
    </row>
    <row r="119" spans="1:9" ht="15">
      <c r="A119" s="190">
        <f>IF(B119="","","Dec")</f>
      </c>
      <c r="B119" s="185">
        <f t="shared" si="22"/>
      </c>
      <c r="C119" s="186">
        <f t="shared" si="27"/>
      </c>
      <c r="D119" s="186">
        <f t="shared" si="23"/>
      </c>
      <c r="E119" s="186">
        <f t="shared" si="17"/>
      </c>
      <c r="F119" s="186">
        <f t="shared" si="28"/>
      </c>
      <c r="G119" s="186">
        <f t="shared" si="29"/>
      </c>
      <c r="H119" s="186">
        <f t="shared" si="18"/>
      </c>
      <c r="I119" s="185">
        <f>IF(B108="","","End of year 9")</f>
      </c>
    </row>
    <row r="120" spans="1:8" ht="15">
      <c r="A120" s="189">
        <f>IF(B120="","","Jan")</f>
      </c>
      <c r="B120">
        <f t="shared" si="22"/>
      </c>
      <c r="C120" s="180">
        <f t="shared" si="27"/>
      </c>
      <c r="D120" s="180">
        <f t="shared" si="23"/>
      </c>
      <c r="E120" s="180">
        <f t="shared" si="17"/>
      </c>
      <c r="F120" s="180">
        <f t="shared" si="28"/>
      </c>
      <c r="G120" s="180">
        <f t="shared" si="29"/>
      </c>
      <c r="H120" s="180">
        <f t="shared" si="18"/>
      </c>
    </row>
    <row r="121" spans="1:8" ht="15">
      <c r="A121" s="189">
        <f>IF(B121="","","Feb")</f>
      </c>
      <c r="B121">
        <f t="shared" si="22"/>
      </c>
      <c r="C121" s="180">
        <f t="shared" si="27"/>
      </c>
      <c r="D121" s="180">
        <f t="shared" si="23"/>
      </c>
      <c r="E121" s="180">
        <f t="shared" si="17"/>
      </c>
      <c r="F121" s="180">
        <f t="shared" si="28"/>
      </c>
      <c r="G121" s="180">
        <f t="shared" si="29"/>
      </c>
      <c r="H121" s="180">
        <f t="shared" si="18"/>
      </c>
    </row>
    <row r="122" spans="1:8" ht="15">
      <c r="A122" s="189">
        <f>IF(B122="","","Mar")</f>
      </c>
      <c r="B122">
        <f t="shared" si="22"/>
      </c>
      <c r="C122" s="180">
        <f t="shared" si="27"/>
      </c>
      <c r="D122" s="180">
        <f t="shared" si="23"/>
      </c>
      <c r="E122" s="180">
        <f t="shared" si="17"/>
      </c>
      <c r="F122" s="180">
        <f t="shared" si="28"/>
      </c>
      <c r="G122" s="180">
        <f t="shared" si="29"/>
      </c>
      <c r="H122" s="180">
        <f t="shared" si="18"/>
      </c>
    </row>
    <row r="123" spans="1:8" ht="15">
      <c r="A123" s="189">
        <f>IF(B123="","","Apr")</f>
      </c>
      <c r="B123">
        <f t="shared" si="22"/>
      </c>
      <c r="C123" s="180">
        <f t="shared" si="27"/>
      </c>
      <c r="D123" s="180">
        <f t="shared" si="23"/>
      </c>
      <c r="E123" s="180">
        <f t="shared" si="17"/>
      </c>
      <c r="F123" s="180">
        <f t="shared" si="28"/>
      </c>
      <c r="G123" s="180">
        <f t="shared" si="29"/>
      </c>
      <c r="H123" s="180">
        <f t="shared" si="18"/>
      </c>
    </row>
    <row r="124" spans="1:8" ht="15">
      <c r="A124" s="189">
        <f>IF(B124="","","May")</f>
      </c>
      <c r="B124">
        <f t="shared" si="22"/>
      </c>
      <c r="C124" s="180">
        <f t="shared" si="27"/>
      </c>
      <c r="D124" s="180">
        <f t="shared" si="23"/>
      </c>
      <c r="E124" s="180">
        <f t="shared" si="17"/>
      </c>
      <c r="F124" s="180">
        <f t="shared" si="28"/>
      </c>
      <c r="G124" s="180">
        <f t="shared" si="29"/>
      </c>
      <c r="H124" s="180">
        <f t="shared" si="18"/>
      </c>
    </row>
    <row r="125" spans="1:8" ht="15">
      <c r="A125" s="189">
        <f>IF(B125="","","Jun")</f>
      </c>
      <c r="B125">
        <f t="shared" si="22"/>
      </c>
      <c r="C125" s="180">
        <f t="shared" si="27"/>
      </c>
      <c r="D125" s="180">
        <f t="shared" si="23"/>
      </c>
      <c r="E125" s="180">
        <f t="shared" si="17"/>
      </c>
      <c r="F125" s="180">
        <f t="shared" si="28"/>
      </c>
      <c r="G125" s="180">
        <f t="shared" si="29"/>
      </c>
      <c r="H125" s="180">
        <f t="shared" si="18"/>
      </c>
    </row>
    <row r="126" spans="1:8" ht="15">
      <c r="A126" s="189">
        <f>IF(B126="","","Jul")</f>
      </c>
      <c r="B126">
        <f t="shared" si="22"/>
      </c>
      <c r="C126" s="180">
        <f aca="true" t="shared" si="30" ref="C126:C141">IF(B126="","",F125)</f>
      </c>
      <c r="D126" s="180">
        <f t="shared" si="23"/>
      </c>
      <c r="E126" s="180">
        <f t="shared" si="17"/>
      </c>
      <c r="F126" s="180">
        <f aca="true" t="shared" si="31" ref="F126:F141">IF(B126="","",C126-E126)</f>
      </c>
      <c r="G126" s="180">
        <f aca="true" t="shared" si="32" ref="G126:G141">IF(B126="","",G125+E126)</f>
      </c>
      <c r="H126" s="180">
        <f t="shared" si="18"/>
      </c>
    </row>
    <row r="127" spans="1:9" ht="15">
      <c r="A127" s="189">
        <f>IF(B127="","","Aug")</f>
      </c>
      <c r="B127">
        <f t="shared" si="22"/>
      </c>
      <c r="C127" s="180">
        <f t="shared" si="30"/>
      </c>
      <c r="D127" s="180">
        <f t="shared" si="23"/>
      </c>
      <c r="E127" s="180">
        <f t="shared" si="17"/>
      </c>
      <c r="F127" s="180">
        <f t="shared" si="31"/>
      </c>
      <c r="G127" s="180">
        <f t="shared" si="32"/>
      </c>
      <c r="H127" s="180">
        <f t="shared" si="18"/>
      </c>
      <c r="I127" s="183">
        <f>IF(B120="","","Principal")</f>
      </c>
    </row>
    <row r="128" spans="1:9" ht="15">
      <c r="A128" s="189">
        <f>IF(B128="","","Sep")</f>
      </c>
      <c r="B128">
        <f t="shared" si="22"/>
      </c>
      <c r="C128" s="180">
        <f t="shared" si="30"/>
      </c>
      <c r="D128" s="180">
        <f t="shared" si="23"/>
      </c>
      <c r="E128" s="180">
        <f t="shared" si="17"/>
      </c>
      <c r="F128" s="180">
        <f t="shared" si="31"/>
      </c>
      <c r="G128" s="180">
        <f t="shared" si="32"/>
      </c>
      <c r="H128" s="180">
        <f t="shared" si="18"/>
      </c>
      <c r="I128" s="184">
        <f>IF(B120="","",SUM(E120:E131))</f>
      </c>
    </row>
    <row r="129" spans="1:9" ht="15">
      <c r="A129" s="189">
        <f>IF(B129="","","Oct")</f>
      </c>
      <c r="B129">
        <f t="shared" si="22"/>
      </c>
      <c r="C129" s="180">
        <f t="shared" si="30"/>
      </c>
      <c r="D129" s="180">
        <f t="shared" si="23"/>
      </c>
      <c r="E129" s="180">
        <f t="shared" si="17"/>
      </c>
      <c r="F129" s="180">
        <f t="shared" si="31"/>
      </c>
      <c r="G129" s="180">
        <f t="shared" si="32"/>
      </c>
      <c r="H129" s="180">
        <f t="shared" si="18"/>
      </c>
      <c r="I129" s="183">
        <f>IF(B120="","","Interest")</f>
      </c>
    </row>
    <row r="130" spans="1:9" ht="15">
      <c r="A130" s="189">
        <f>IF(B130="","","Nov")</f>
      </c>
      <c r="B130">
        <f t="shared" si="22"/>
      </c>
      <c r="C130" s="180">
        <f t="shared" si="30"/>
      </c>
      <c r="D130" s="180">
        <f t="shared" si="23"/>
      </c>
      <c r="E130" s="180">
        <f t="shared" si="17"/>
      </c>
      <c r="F130" s="180">
        <f t="shared" si="31"/>
      </c>
      <c r="G130" s="180">
        <f t="shared" si="32"/>
      </c>
      <c r="H130" s="180">
        <f t="shared" si="18"/>
      </c>
      <c r="I130" s="184">
        <f>IF(B120="","",SUM(D120:D131))</f>
      </c>
    </row>
    <row r="131" spans="1:9" ht="15">
      <c r="A131" s="190">
        <f>IF(B131="","","Dec")</f>
      </c>
      <c r="B131" s="185">
        <f t="shared" si="22"/>
      </c>
      <c r="C131" s="186">
        <f t="shared" si="30"/>
      </c>
      <c r="D131" s="186">
        <f t="shared" si="23"/>
      </c>
      <c r="E131" s="186">
        <f t="shared" si="17"/>
      </c>
      <c r="F131" s="186">
        <f t="shared" si="31"/>
      </c>
      <c r="G131" s="186">
        <f t="shared" si="32"/>
      </c>
      <c r="H131" s="186">
        <f t="shared" si="18"/>
      </c>
      <c r="I131" s="185">
        <f>IF(B120="","","End of year 10")</f>
      </c>
    </row>
    <row r="132" spans="1:8" ht="15">
      <c r="A132" s="189">
        <f>IF(B132="","","Jan")</f>
      </c>
      <c r="B132">
        <f t="shared" si="22"/>
      </c>
      <c r="C132" s="180">
        <f t="shared" si="30"/>
      </c>
      <c r="D132" s="180">
        <f t="shared" si="23"/>
      </c>
      <c r="E132" s="180">
        <f t="shared" si="17"/>
      </c>
      <c r="F132" s="180">
        <f t="shared" si="31"/>
      </c>
      <c r="G132" s="180">
        <f t="shared" si="32"/>
      </c>
      <c r="H132" s="180">
        <f t="shared" si="18"/>
      </c>
    </row>
    <row r="133" spans="1:8" ht="15">
      <c r="A133" s="189">
        <f>IF(B133="","","Feb")</f>
      </c>
      <c r="B133">
        <f t="shared" si="22"/>
      </c>
      <c r="C133" s="180">
        <f t="shared" si="30"/>
      </c>
      <c r="D133" s="180">
        <f t="shared" si="23"/>
      </c>
      <c r="E133" s="180">
        <f t="shared" si="17"/>
      </c>
      <c r="F133" s="180">
        <f t="shared" si="31"/>
      </c>
      <c r="G133" s="180">
        <f t="shared" si="32"/>
      </c>
      <c r="H133" s="180">
        <f t="shared" si="18"/>
      </c>
    </row>
    <row r="134" spans="1:8" ht="15">
      <c r="A134" s="189">
        <f>IF(B134="","","Mar")</f>
      </c>
      <c r="B134">
        <f t="shared" si="22"/>
      </c>
      <c r="C134" s="180">
        <f t="shared" si="30"/>
      </c>
      <c r="D134" s="180">
        <f t="shared" si="23"/>
      </c>
      <c r="E134" s="180">
        <f t="shared" si="17"/>
      </c>
      <c r="F134" s="180">
        <f t="shared" si="31"/>
      </c>
      <c r="G134" s="180">
        <f t="shared" si="32"/>
      </c>
      <c r="H134" s="180">
        <f t="shared" si="18"/>
      </c>
    </row>
    <row r="135" spans="1:8" ht="15">
      <c r="A135" s="189">
        <f>IF(B135="","","Apr")</f>
      </c>
      <c r="B135">
        <f t="shared" si="22"/>
      </c>
      <c r="C135" s="180">
        <f t="shared" si="30"/>
      </c>
      <c r="D135" s="180">
        <f t="shared" si="23"/>
      </c>
      <c r="E135" s="180">
        <f t="shared" si="17"/>
      </c>
      <c r="F135" s="180">
        <f t="shared" si="31"/>
      </c>
      <c r="G135" s="180">
        <f t="shared" si="32"/>
      </c>
      <c r="H135" s="180">
        <f t="shared" si="18"/>
      </c>
    </row>
    <row r="136" spans="1:8" ht="15">
      <c r="A136" s="189">
        <f>IF(B136="","","May")</f>
      </c>
      <c r="B136">
        <f t="shared" si="22"/>
      </c>
      <c r="C136" s="180">
        <f t="shared" si="30"/>
      </c>
      <c r="D136" s="180">
        <f t="shared" si="23"/>
      </c>
      <c r="E136" s="180">
        <f t="shared" si="17"/>
      </c>
      <c r="F136" s="180">
        <f t="shared" si="31"/>
      </c>
      <c r="G136" s="180">
        <f t="shared" si="32"/>
      </c>
      <c r="H136" s="180">
        <f t="shared" si="18"/>
      </c>
    </row>
    <row r="137" spans="1:8" ht="15">
      <c r="A137" s="189">
        <f>IF(B137="","","Jun")</f>
      </c>
      <c r="B137">
        <f t="shared" si="22"/>
      </c>
      <c r="C137" s="180">
        <f t="shared" si="30"/>
      </c>
      <c r="D137" s="180">
        <f t="shared" si="23"/>
      </c>
      <c r="E137" s="180">
        <f t="shared" si="17"/>
      </c>
      <c r="F137" s="180">
        <f t="shared" si="31"/>
      </c>
      <c r="G137" s="180">
        <f t="shared" si="32"/>
      </c>
      <c r="H137" s="180">
        <f t="shared" si="18"/>
      </c>
    </row>
    <row r="138" spans="1:8" ht="15">
      <c r="A138" s="189">
        <f>IF(B138="","","Jul")</f>
      </c>
      <c r="B138">
        <f t="shared" si="22"/>
      </c>
      <c r="C138" s="180">
        <f t="shared" si="30"/>
      </c>
      <c r="D138" s="180">
        <f t="shared" si="23"/>
      </c>
      <c r="E138" s="180">
        <f t="shared" si="17"/>
      </c>
      <c r="F138" s="180">
        <f t="shared" si="31"/>
      </c>
      <c r="G138" s="180">
        <f t="shared" si="32"/>
      </c>
      <c r="H138" s="180">
        <f t="shared" si="18"/>
      </c>
    </row>
    <row r="139" spans="1:9" ht="15">
      <c r="A139" s="189">
        <f>IF(B139="","","Aug")</f>
      </c>
      <c r="B139">
        <f t="shared" si="22"/>
      </c>
      <c r="C139" s="180">
        <f t="shared" si="30"/>
      </c>
      <c r="D139" s="180">
        <f t="shared" si="23"/>
      </c>
      <c r="E139" s="180">
        <f t="shared" si="17"/>
      </c>
      <c r="F139" s="180">
        <f t="shared" si="31"/>
      </c>
      <c r="G139" s="180">
        <f t="shared" si="32"/>
      </c>
      <c r="H139" s="180">
        <f t="shared" si="18"/>
      </c>
      <c r="I139" s="183">
        <f>IF(B132="","","Principal")</f>
      </c>
    </row>
    <row r="140" spans="1:9" ht="15">
      <c r="A140" s="189">
        <f>IF(B140="","","Sep")</f>
      </c>
      <c r="B140">
        <f t="shared" si="22"/>
      </c>
      <c r="C140" s="180">
        <f t="shared" si="30"/>
      </c>
      <c r="D140" s="180">
        <f t="shared" si="23"/>
      </c>
      <c r="E140" s="180">
        <f t="shared" si="17"/>
      </c>
      <c r="F140" s="180">
        <f t="shared" si="31"/>
      </c>
      <c r="G140" s="180">
        <f t="shared" si="32"/>
      </c>
      <c r="H140" s="180">
        <f t="shared" si="18"/>
      </c>
      <c r="I140" s="184">
        <f>IF(B132="","",SUM(E132:E143))</f>
      </c>
    </row>
    <row r="141" spans="1:9" ht="15">
      <c r="A141" s="189">
        <f>IF(B141="","","Oct")</f>
      </c>
      <c r="B141">
        <f t="shared" si="22"/>
      </c>
      <c r="C141" s="180">
        <f t="shared" si="30"/>
      </c>
      <c r="D141" s="180">
        <f t="shared" si="23"/>
      </c>
      <c r="E141" s="180">
        <f aca="true" t="shared" si="33" ref="E141:E204">IF(B141="","",IF(C141+D141&lt;($G$3+$C$7),(C141+D141)-D141,($G$3+$C$7)-D141))</f>
      </c>
      <c r="F141" s="180">
        <f t="shared" si="31"/>
      </c>
      <c r="G141" s="180">
        <f t="shared" si="32"/>
      </c>
      <c r="H141" s="180">
        <f aca="true" t="shared" si="34" ref="H141:H204">IF(B141="","",H140+D141)</f>
      </c>
      <c r="I141" s="183">
        <f>IF(B132="","","Interest")</f>
      </c>
    </row>
    <row r="142" spans="1:9" ht="15">
      <c r="A142" s="189">
        <f>IF(B142="","","Nov")</f>
      </c>
      <c r="B142">
        <f t="shared" si="22"/>
      </c>
      <c r="C142" s="180">
        <f aca="true" t="shared" si="35" ref="C142:C157">IF(B142="","",F141)</f>
      </c>
      <c r="D142" s="180">
        <f t="shared" si="23"/>
      </c>
      <c r="E142" s="180">
        <f t="shared" si="33"/>
      </c>
      <c r="F142" s="180">
        <f aca="true" t="shared" si="36" ref="F142:F157">IF(B142="","",C142-E142)</f>
      </c>
      <c r="G142" s="180">
        <f aca="true" t="shared" si="37" ref="G142:G157">IF(B142="","",G141+E142)</f>
      </c>
      <c r="H142" s="180">
        <f t="shared" si="34"/>
      </c>
      <c r="I142" s="184">
        <f>IF(B132="","",SUM(D132:D143))</f>
      </c>
    </row>
    <row r="143" spans="1:9" ht="15">
      <c r="A143" s="190">
        <f>IF(B143="","","Dec")</f>
      </c>
      <c r="B143" s="185">
        <f t="shared" si="22"/>
      </c>
      <c r="C143" s="186">
        <f t="shared" si="35"/>
      </c>
      <c r="D143" s="186">
        <f t="shared" si="23"/>
      </c>
      <c r="E143" s="186">
        <f t="shared" si="33"/>
      </c>
      <c r="F143" s="186">
        <f t="shared" si="36"/>
      </c>
      <c r="G143" s="186">
        <f t="shared" si="37"/>
      </c>
      <c r="H143" s="186">
        <f t="shared" si="34"/>
      </c>
      <c r="I143" s="185">
        <f>IF(B132="","","End of year 11")</f>
      </c>
    </row>
    <row r="144" spans="1:8" ht="15">
      <c r="A144" s="189">
        <f>IF(B144="","","Jan")</f>
      </c>
      <c r="B144">
        <f t="shared" si="22"/>
      </c>
      <c r="C144" s="180">
        <f t="shared" si="35"/>
      </c>
      <c r="D144" s="180">
        <f t="shared" si="23"/>
      </c>
      <c r="E144" s="180">
        <f t="shared" si="33"/>
      </c>
      <c r="F144" s="180">
        <f t="shared" si="36"/>
      </c>
      <c r="G144" s="180">
        <f t="shared" si="37"/>
      </c>
      <c r="H144" s="180">
        <f t="shared" si="34"/>
      </c>
    </row>
    <row r="145" spans="1:8" ht="15">
      <c r="A145" s="189">
        <f>IF(B145="","","Feb")</f>
      </c>
      <c r="B145">
        <f t="shared" si="22"/>
      </c>
      <c r="C145" s="180">
        <f t="shared" si="35"/>
      </c>
      <c r="D145" s="180">
        <f t="shared" si="23"/>
      </c>
      <c r="E145" s="180">
        <f t="shared" si="33"/>
      </c>
      <c r="F145" s="180">
        <f t="shared" si="36"/>
      </c>
      <c r="G145" s="180">
        <f t="shared" si="37"/>
      </c>
      <c r="H145" s="180">
        <f t="shared" si="34"/>
      </c>
    </row>
    <row r="146" spans="1:8" ht="15">
      <c r="A146" s="189">
        <f>IF(B146="","","Mar")</f>
      </c>
      <c r="B146">
        <f t="shared" si="22"/>
      </c>
      <c r="C146" s="180">
        <f t="shared" si="35"/>
      </c>
      <c r="D146" s="180">
        <f t="shared" si="23"/>
      </c>
      <c r="E146" s="180">
        <f t="shared" si="33"/>
      </c>
      <c r="F146" s="180">
        <f t="shared" si="36"/>
      </c>
      <c r="G146" s="180">
        <f t="shared" si="37"/>
      </c>
      <c r="H146" s="180">
        <f t="shared" si="34"/>
      </c>
    </row>
    <row r="147" spans="1:8" ht="15">
      <c r="A147" s="189">
        <f>IF(B147="","","Apr")</f>
      </c>
      <c r="B147">
        <f t="shared" si="22"/>
      </c>
      <c r="C147" s="180">
        <f t="shared" si="35"/>
      </c>
      <c r="D147" s="180">
        <f t="shared" si="23"/>
      </c>
      <c r="E147" s="180">
        <f t="shared" si="33"/>
      </c>
      <c r="F147" s="180">
        <f t="shared" si="36"/>
      </c>
      <c r="G147" s="180">
        <f t="shared" si="37"/>
      </c>
      <c r="H147" s="180">
        <f t="shared" si="34"/>
      </c>
    </row>
    <row r="148" spans="1:8" ht="15">
      <c r="A148" s="189">
        <f>IF(B148="","","May")</f>
      </c>
      <c r="B148">
        <f t="shared" si="22"/>
      </c>
      <c r="C148" s="180">
        <f t="shared" si="35"/>
      </c>
      <c r="D148" s="180">
        <f t="shared" si="23"/>
      </c>
      <c r="E148" s="180">
        <f t="shared" si="33"/>
      </c>
      <c r="F148" s="180">
        <f t="shared" si="36"/>
      </c>
      <c r="G148" s="180">
        <f t="shared" si="37"/>
      </c>
      <c r="H148" s="180">
        <f t="shared" si="34"/>
      </c>
    </row>
    <row r="149" spans="1:8" ht="15">
      <c r="A149" s="189">
        <f>IF(B149="","","Jun")</f>
      </c>
      <c r="B149">
        <f t="shared" si="22"/>
      </c>
      <c r="C149" s="180">
        <f t="shared" si="35"/>
      </c>
      <c r="D149" s="180">
        <f t="shared" si="23"/>
      </c>
      <c r="E149" s="180">
        <f t="shared" si="33"/>
      </c>
      <c r="F149" s="180">
        <f t="shared" si="36"/>
      </c>
      <c r="G149" s="180">
        <f t="shared" si="37"/>
      </c>
      <c r="H149" s="180">
        <f t="shared" si="34"/>
      </c>
    </row>
    <row r="150" spans="1:8" ht="15">
      <c r="A150" s="189">
        <f>IF(B150="","","Jul")</f>
      </c>
      <c r="B150">
        <f t="shared" si="22"/>
      </c>
      <c r="C150" s="180">
        <f t="shared" si="35"/>
      </c>
      <c r="D150" s="180">
        <f t="shared" si="23"/>
      </c>
      <c r="E150" s="180">
        <f t="shared" si="33"/>
      </c>
      <c r="F150" s="180">
        <f t="shared" si="36"/>
      </c>
      <c r="G150" s="180">
        <f t="shared" si="37"/>
      </c>
      <c r="H150" s="180">
        <f t="shared" si="34"/>
      </c>
    </row>
    <row r="151" spans="1:9" ht="15">
      <c r="A151" s="189">
        <f>IF(B151="","","Aug")</f>
      </c>
      <c r="B151">
        <f t="shared" si="22"/>
      </c>
      <c r="C151" s="180">
        <f t="shared" si="35"/>
      </c>
      <c r="D151" s="180">
        <f t="shared" si="23"/>
      </c>
      <c r="E151" s="180">
        <f t="shared" si="33"/>
      </c>
      <c r="F151" s="180">
        <f t="shared" si="36"/>
      </c>
      <c r="G151" s="180">
        <f t="shared" si="37"/>
      </c>
      <c r="H151" s="180">
        <f t="shared" si="34"/>
      </c>
      <c r="I151" s="183">
        <f>IF(B144="","","Principal")</f>
      </c>
    </row>
    <row r="152" spans="1:9" ht="15">
      <c r="A152" s="189">
        <f>IF(B152="","","Sep")</f>
      </c>
      <c r="B152">
        <f t="shared" si="22"/>
      </c>
      <c r="C152" s="180">
        <f t="shared" si="35"/>
      </c>
      <c r="D152" s="180">
        <f t="shared" si="23"/>
      </c>
      <c r="E152" s="180">
        <f t="shared" si="33"/>
      </c>
      <c r="F152" s="180">
        <f t="shared" si="36"/>
      </c>
      <c r="G152" s="180">
        <f t="shared" si="37"/>
      </c>
      <c r="H152" s="180">
        <f t="shared" si="34"/>
      </c>
      <c r="I152" s="184">
        <f>IF(B144="","",SUM(E144:E155))</f>
      </c>
    </row>
    <row r="153" spans="1:9" ht="15">
      <c r="A153" s="189">
        <f>IF(B153="","","Oct")</f>
      </c>
      <c r="B153">
        <f aca="true" t="shared" si="38" ref="B153:B216">IF(B152=ABS($C$5),"",IF(B152="","",IF(G152&gt;=$C$3,"",B152+1)))</f>
      </c>
      <c r="C153" s="180">
        <f t="shared" si="35"/>
      </c>
      <c r="D153" s="180">
        <f t="shared" si="23"/>
      </c>
      <c r="E153" s="180">
        <f t="shared" si="33"/>
      </c>
      <c r="F153" s="180">
        <f t="shared" si="36"/>
      </c>
      <c r="G153" s="180">
        <f t="shared" si="37"/>
      </c>
      <c r="H153" s="180">
        <f t="shared" si="34"/>
      </c>
      <c r="I153" s="183">
        <f>IF(B144="","","Interest")</f>
      </c>
    </row>
    <row r="154" spans="1:9" ht="15">
      <c r="A154" s="189">
        <f>IF(B154="","","Nov")</f>
      </c>
      <c r="B154">
        <f t="shared" si="38"/>
      </c>
      <c r="C154" s="180">
        <f t="shared" si="35"/>
      </c>
      <c r="D154" s="180">
        <f aca="true" t="shared" si="39" ref="D154:D217">IF(B154="","",C154*(($C$4/100)/12))</f>
      </c>
      <c r="E154" s="180">
        <f t="shared" si="33"/>
      </c>
      <c r="F154" s="180">
        <f t="shared" si="36"/>
      </c>
      <c r="G154" s="180">
        <f t="shared" si="37"/>
      </c>
      <c r="H154" s="180">
        <f t="shared" si="34"/>
      </c>
      <c r="I154" s="184">
        <f>IF(B144="","",SUM(D144:D155))</f>
      </c>
    </row>
    <row r="155" spans="1:9" ht="15">
      <c r="A155" s="190">
        <f>IF(B155="","","Dec")</f>
      </c>
      <c r="B155" s="185">
        <f t="shared" si="38"/>
      </c>
      <c r="C155" s="186">
        <f t="shared" si="35"/>
      </c>
      <c r="D155" s="186">
        <f t="shared" si="39"/>
      </c>
      <c r="E155" s="186">
        <f t="shared" si="33"/>
      </c>
      <c r="F155" s="186">
        <f t="shared" si="36"/>
      </c>
      <c r="G155" s="186">
        <f t="shared" si="37"/>
      </c>
      <c r="H155" s="186">
        <f t="shared" si="34"/>
      </c>
      <c r="I155" s="185">
        <f>IF(B144="","","End of year 12")</f>
      </c>
    </row>
    <row r="156" spans="1:8" ht="15">
      <c r="A156" s="189">
        <f>IF(B156="","","Jan")</f>
      </c>
      <c r="B156">
        <f t="shared" si="38"/>
      </c>
      <c r="C156" s="180">
        <f t="shared" si="35"/>
      </c>
      <c r="D156" s="180">
        <f t="shared" si="39"/>
      </c>
      <c r="E156" s="180">
        <f t="shared" si="33"/>
      </c>
      <c r="F156" s="180">
        <f t="shared" si="36"/>
      </c>
      <c r="G156" s="180">
        <f t="shared" si="37"/>
      </c>
      <c r="H156" s="180">
        <f t="shared" si="34"/>
      </c>
    </row>
    <row r="157" spans="1:8" ht="15">
      <c r="A157" s="189">
        <f>IF(B157="","","Feb")</f>
      </c>
      <c r="B157">
        <f t="shared" si="38"/>
      </c>
      <c r="C157" s="180">
        <f t="shared" si="35"/>
      </c>
      <c r="D157" s="180">
        <f t="shared" si="39"/>
      </c>
      <c r="E157" s="180">
        <f t="shared" si="33"/>
      </c>
      <c r="F157" s="180">
        <f t="shared" si="36"/>
      </c>
      <c r="G157" s="180">
        <f t="shared" si="37"/>
      </c>
      <c r="H157" s="180">
        <f t="shared" si="34"/>
      </c>
    </row>
    <row r="158" spans="1:8" ht="15">
      <c r="A158" s="189">
        <f>IF(B158="","","Mar")</f>
      </c>
      <c r="B158">
        <f t="shared" si="38"/>
      </c>
      <c r="C158" s="180">
        <f aca="true" t="shared" si="40" ref="C158:C173">IF(B158="","",F157)</f>
      </c>
      <c r="D158" s="180">
        <f t="shared" si="39"/>
      </c>
      <c r="E158" s="180">
        <f t="shared" si="33"/>
      </c>
      <c r="F158" s="180">
        <f aca="true" t="shared" si="41" ref="F158:F173">IF(B158="","",C158-E158)</f>
      </c>
      <c r="G158" s="180">
        <f aca="true" t="shared" si="42" ref="G158:G173">IF(B158="","",G157+E158)</f>
      </c>
      <c r="H158" s="180">
        <f t="shared" si="34"/>
      </c>
    </row>
    <row r="159" spans="1:8" ht="15">
      <c r="A159" s="189">
        <f>IF(B159="","","Apr")</f>
      </c>
      <c r="B159">
        <f t="shared" si="38"/>
      </c>
      <c r="C159" s="180">
        <f t="shared" si="40"/>
      </c>
      <c r="D159" s="180">
        <f t="shared" si="39"/>
      </c>
      <c r="E159" s="180">
        <f t="shared" si="33"/>
      </c>
      <c r="F159" s="180">
        <f t="shared" si="41"/>
      </c>
      <c r="G159" s="180">
        <f t="shared" si="42"/>
      </c>
      <c r="H159" s="180">
        <f t="shared" si="34"/>
      </c>
    </row>
    <row r="160" spans="1:8" ht="15">
      <c r="A160" s="189">
        <f>IF(B160="","","May")</f>
      </c>
      <c r="B160">
        <f t="shared" si="38"/>
      </c>
      <c r="C160" s="180">
        <f t="shared" si="40"/>
      </c>
      <c r="D160" s="180">
        <f t="shared" si="39"/>
      </c>
      <c r="E160" s="180">
        <f t="shared" si="33"/>
      </c>
      <c r="F160" s="180">
        <f t="shared" si="41"/>
      </c>
      <c r="G160" s="180">
        <f t="shared" si="42"/>
      </c>
      <c r="H160" s="180">
        <f t="shared" si="34"/>
      </c>
    </row>
    <row r="161" spans="1:8" ht="15">
      <c r="A161" s="189">
        <f>IF(B161="","","Jun")</f>
      </c>
      <c r="B161">
        <f t="shared" si="38"/>
      </c>
      <c r="C161" s="180">
        <f t="shared" si="40"/>
      </c>
      <c r="D161" s="180">
        <f t="shared" si="39"/>
      </c>
      <c r="E161" s="180">
        <f t="shared" si="33"/>
      </c>
      <c r="F161" s="180">
        <f t="shared" si="41"/>
      </c>
      <c r="G161" s="180">
        <f t="shared" si="42"/>
      </c>
      <c r="H161" s="180">
        <f t="shared" si="34"/>
      </c>
    </row>
    <row r="162" spans="1:8" ht="15">
      <c r="A162" s="189">
        <f>IF(B162="","","Jul")</f>
      </c>
      <c r="B162">
        <f t="shared" si="38"/>
      </c>
      <c r="C162" s="180">
        <f t="shared" si="40"/>
      </c>
      <c r="D162" s="180">
        <f t="shared" si="39"/>
      </c>
      <c r="E162" s="180">
        <f t="shared" si="33"/>
      </c>
      <c r="F162" s="180">
        <f t="shared" si="41"/>
      </c>
      <c r="G162" s="180">
        <f t="shared" si="42"/>
      </c>
      <c r="H162" s="180">
        <f t="shared" si="34"/>
      </c>
    </row>
    <row r="163" spans="1:9" ht="15">
      <c r="A163" s="189">
        <f>IF(B163="","","Aug")</f>
      </c>
      <c r="B163">
        <f t="shared" si="38"/>
      </c>
      <c r="C163" s="180">
        <f t="shared" si="40"/>
      </c>
      <c r="D163" s="180">
        <f t="shared" si="39"/>
      </c>
      <c r="E163" s="180">
        <f t="shared" si="33"/>
      </c>
      <c r="F163" s="180">
        <f t="shared" si="41"/>
      </c>
      <c r="G163" s="180">
        <f t="shared" si="42"/>
      </c>
      <c r="H163" s="180">
        <f t="shared" si="34"/>
      </c>
      <c r="I163" s="183">
        <f>IF(B156="","","Principal")</f>
      </c>
    </row>
    <row r="164" spans="1:9" ht="15">
      <c r="A164" s="189">
        <f>IF(B164="","","Sep")</f>
      </c>
      <c r="B164">
        <f t="shared" si="38"/>
      </c>
      <c r="C164" s="180">
        <f t="shared" si="40"/>
      </c>
      <c r="D164" s="180">
        <f t="shared" si="39"/>
      </c>
      <c r="E164" s="180">
        <f t="shared" si="33"/>
      </c>
      <c r="F164" s="180">
        <f t="shared" si="41"/>
      </c>
      <c r="G164" s="180">
        <f t="shared" si="42"/>
      </c>
      <c r="H164" s="180">
        <f t="shared" si="34"/>
      </c>
      <c r="I164" s="184">
        <f>IF(B156="","",SUM(E156:E167))</f>
      </c>
    </row>
    <row r="165" spans="1:9" ht="15">
      <c r="A165" s="189">
        <f>IF(B165="","","Oct")</f>
      </c>
      <c r="B165">
        <f t="shared" si="38"/>
      </c>
      <c r="C165" s="180">
        <f t="shared" si="40"/>
      </c>
      <c r="D165" s="180">
        <f t="shared" si="39"/>
      </c>
      <c r="E165" s="180">
        <f t="shared" si="33"/>
      </c>
      <c r="F165" s="180">
        <f t="shared" si="41"/>
      </c>
      <c r="G165" s="180">
        <f t="shared" si="42"/>
      </c>
      <c r="H165" s="180">
        <f t="shared" si="34"/>
      </c>
      <c r="I165" s="183">
        <f>IF(B156="","","Interest")</f>
      </c>
    </row>
    <row r="166" spans="1:9" ht="15">
      <c r="A166" s="189">
        <f>IF(B166="","","Nov")</f>
      </c>
      <c r="B166">
        <f t="shared" si="38"/>
      </c>
      <c r="C166" s="180">
        <f t="shared" si="40"/>
      </c>
      <c r="D166" s="180">
        <f t="shared" si="39"/>
      </c>
      <c r="E166" s="180">
        <f t="shared" si="33"/>
      </c>
      <c r="F166" s="180">
        <f t="shared" si="41"/>
      </c>
      <c r="G166" s="180">
        <f t="shared" si="42"/>
      </c>
      <c r="H166" s="180">
        <f t="shared" si="34"/>
      </c>
      <c r="I166" s="184">
        <f>IF(B156="","",SUM(D156:D167))</f>
      </c>
    </row>
    <row r="167" spans="1:9" ht="15">
      <c r="A167" s="190">
        <f>IF(B167="","","Dec")</f>
      </c>
      <c r="B167" s="185">
        <f t="shared" si="38"/>
      </c>
      <c r="C167" s="186">
        <f t="shared" si="40"/>
      </c>
      <c r="D167" s="186">
        <f t="shared" si="39"/>
      </c>
      <c r="E167" s="186">
        <f t="shared" si="33"/>
      </c>
      <c r="F167" s="186">
        <f t="shared" si="41"/>
      </c>
      <c r="G167" s="186">
        <f t="shared" si="42"/>
      </c>
      <c r="H167" s="186">
        <f t="shared" si="34"/>
      </c>
      <c r="I167" s="185">
        <f>IF(B156="","","End of year 13")</f>
      </c>
    </row>
    <row r="168" spans="1:8" ht="15">
      <c r="A168" s="189">
        <f>IF(B168="","","Jan")</f>
      </c>
      <c r="B168">
        <f t="shared" si="38"/>
      </c>
      <c r="C168" s="180">
        <f t="shared" si="40"/>
      </c>
      <c r="D168" s="180">
        <f t="shared" si="39"/>
      </c>
      <c r="E168" s="180">
        <f t="shared" si="33"/>
      </c>
      <c r="F168" s="180">
        <f t="shared" si="41"/>
      </c>
      <c r="G168" s="180">
        <f t="shared" si="42"/>
      </c>
      <c r="H168" s="180">
        <f t="shared" si="34"/>
      </c>
    </row>
    <row r="169" spans="1:8" ht="15">
      <c r="A169" s="189">
        <f>IF(B169="","","Feb")</f>
      </c>
      <c r="B169">
        <f t="shared" si="38"/>
      </c>
      <c r="C169" s="180">
        <f t="shared" si="40"/>
      </c>
      <c r="D169" s="180">
        <f t="shared" si="39"/>
      </c>
      <c r="E169" s="180">
        <f t="shared" si="33"/>
      </c>
      <c r="F169" s="180">
        <f t="shared" si="41"/>
      </c>
      <c r="G169" s="180">
        <f t="shared" si="42"/>
      </c>
      <c r="H169" s="180">
        <f t="shared" si="34"/>
      </c>
    </row>
    <row r="170" spans="1:8" ht="15">
      <c r="A170" s="189">
        <f>IF(B170="","","Mar")</f>
      </c>
      <c r="B170">
        <f t="shared" si="38"/>
      </c>
      <c r="C170" s="180">
        <f t="shared" si="40"/>
      </c>
      <c r="D170" s="180">
        <f t="shared" si="39"/>
      </c>
      <c r="E170" s="180">
        <f t="shared" si="33"/>
      </c>
      <c r="F170" s="180">
        <f t="shared" si="41"/>
      </c>
      <c r="G170" s="180">
        <f t="shared" si="42"/>
      </c>
      <c r="H170" s="180">
        <f t="shared" si="34"/>
      </c>
    </row>
    <row r="171" spans="1:8" ht="15">
      <c r="A171" s="189">
        <f>IF(B171="","","Apr")</f>
      </c>
      <c r="B171">
        <f t="shared" si="38"/>
      </c>
      <c r="C171" s="180">
        <f t="shared" si="40"/>
      </c>
      <c r="D171" s="180">
        <f t="shared" si="39"/>
      </c>
      <c r="E171" s="180">
        <f t="shared" si="33"/>
      </c>
      <c r="F171" s="180">
        <f t="shared" si="41"/>
      </c>
      <c r="G171" s="180">
        <f t="shared" si="42"/>
      </c>
      <c r="H171" s="180">
        <f t="shared" si="34"/>
      </c>
    </row>
    <row r="172" spans="1:8" ht="15">
      <c r="A172" s="189">
        <f>IF(B172="","","May")</f>
      </c>
      <c r="B172">
        <f t="shared" si="38"/>
      </c>
      <c r="C172" s="180">
        <f t="shared" si="40"/>
      </c>
      <c r="D172" s="180">
        <f t="shared" si="39"/>
      </c>
      <c r="E172" s="180">
        <f t="shared" si="33"/>
      </c>
      <c r="F172" s="180">
        <f t="shared" si="41"/>
      </c>
      <c r="G172" s="180">
        <f t="shared" si="42"/>
      </c>
      <c r="H172" s="180">
        <f t="shared" si="34"/>
      </c>
    </row>
    <row r="173" spans="1:8" ht="15">
      <c r="A173" s="189">
        <f>IF(B173="","","Jun")</f>
      </c>
      <c r="B173">
        <f t="shared" si="38"/>
      </c>
      <c r="C173" s="180">
        <f t="shared" si="40"/>
      </c>
      <c r="D173" s="180">
        <f t="shared" si="39"/>
      </c>
      <c r="E173" s="180">
        <f t="shared" si="33"/>
      </c>
      <c r="F173" s="180">
        <f t="shared" si="41"/>
      </c>
      <c r="G173" s="180">
        <f t="shared" si="42"/>
      </c>
      <c r="H173" s="180">
        <f t="shared" si="34"/>
      </c>
    </row>
    <row r="174" spans="1:8" ht="15">
      <c r="A174" s="189">
        <f>IF(B174="","","Jul")</f>
      </c>
      <c r="B174">
        <f t="shared" si="38"/>
      </c>
      <c r="C174" s="180">
        <f aca="true" t="shared" si="43" ref="C174:C189">IF(B174="","",F173)</f>
      </c>
      <c r="D174" s="180">
        <f t="shared" si="39"/>
      </c>
      <c r="E174" s="180">
        <f t="shared" si="33"/>
      </c>
      <c r="F174" s="180">
        <f aca="true" t="shared" si="44" ref="F174:F189">IF(B174="","",C174-E174)</f>
      </c>
      <c r="G174" s="180">
        <f aca="true" t="shared" si="45" ref="G174:G189">IF(B174="","",G173+E174)</f>
      </c>
      <c r="H174" s="180">
        <f t="shared" si="34"/>
      </c>
    </row>
    <row r="175" spans="1:9" ht="15">
      <c r="A175" s="189">
        <f>IF(B175="","","Aug")</f>
      </c>
      <c r="B175">
        <f t="shared" si="38"/>
      </c>
      <c r="C175" s="180">
        <f t="shared" si="43"/>
      </c>
      <c r="D175" s="180">
        <f t="shared" si="39"/>
      </c>
      <c r="E175" s="180">
        <f t="shared" si="33"/>
      </c>
      <c r="F175" s="180">
        <f t="shared" si="44"/>
      </c>
      <c r="G175" s="180">
        <f t="shared" si="45"/>
      </c>
      <c r="H175" s="180">
        <f t="shared" si="34"/>
      </c>
      <c r="I175" s="183">
        <f>IF(B168="","","Principal")</f>
      </c>
    </row>
    <row r="176" spans="1:9" ht="15">
      <c r="A176" s="189">
        <f>IF(B176="","","Sep")</f>
      </c>
      <c r="B176">
        <f t="shared" si="38"/>
      </c>
      <c r="C176" s="180">
        <f t="shared" si="43"/>
      </c>
      <c r="D176" s="180">
        <f t="shared" si="39"/>
      </c>
      <c r="E176" s="180">
        <f t="shared" si="33"/>
      </c>
      <c r="F176" s="180">
        <f t="shared" si="44"/>
      </c>
      <c r="G176" s="180">
        <f t="shared" si="45"/>
      </c>
      <c r="H176" s="180">
        <f t="shared" si="34"/>
      </c>
      <c r="I176" s="184">
        <f>IF(B168="","",SUM(E168:E179))</f>
      </c>
    </row>
    <row r="177" spans="1:9" ht="15">
      <c r="A177" s="189">
        <f>IF(B177="","","Oct")</f>
      </c>
      <c r="B177">
        <f t="shared" si="38"/>
      </c>
      <c r="C177" s="180">
        <f t="shared" si="43"/>
      </c>
      <c r="D177" s="180">
        <f t="shared" si="39"/>
      </c>
      <c r="E177" s="180">
        <f t="shared" si="33"/>
      </c>
      <c r="F177" s="180">
        <f t="shared" si="44"/>
      </c>
      <c r="G177" s="180">
        <f t="shared" si="45"/>
      </c>
      <c r="H177" s="180">
        <f t="shared" si="34"/>
      </c>
      <c r="I177" s="183">
        <f>IF(B168="","","Interest")</f>
      </c>
    </row>
    <row r="178" spans="1:9" ht="15">
      <c r="A178" s="189">
        <f>IF(B178="","","Nov")</f>
      </c>
      <c r="B178">
        <f t="shared" si="38"/>
      </c>
      <c r="C178" s="180">
        <f t="shared" si="43"/>
      </c>
      <c r="D178" s="180">
        <f t="shared" si="39"/>
      </c>
      <c r="E178" s="180">
        <f t="shared" si="33"/>
      </c>
      <c r="F178" s="180">
        <f t="shared" si="44"/>
      </c>
      <c r="G178" s="180">
        <f t="shared" si="45"/>
      </c>
      <c r="H178" s="180">
        <f t="shared" si="34"/>
      </c>
      <c r="I178" s="184">
        <f>IF(B168="","",SUM(D168:D179))</f>
      </c>
    </row>
    <row r="179" spans="1:9" ht="15">
      <c r="A179" s="190">
        <f>IF(B179="","","Dec")</f>
      </c>
      <c r="B179" s="185">
        <f t="shared" si="38"/>
      </c>
      <c r="C179" s="186">
        <f t="shared" si="43"/>
      </c>
      <c r="D179" s="186">
        <f t="shared" si="39"/>
      </c>
      <c r="E179" s="186">
        <f t="shared" si="33"/>
      </c>
      <c r="F179" s="186">
        <f t="shared" si="44"/>
      </c>
      <c r="G179" s="186">
        <f t="shared" si="45"/>
      </c>
      <c r="H179" s="186">
        <f t="shared" si="34"/>
      </c>
      <c r="I179" s="185">
        <f>IF(B168="","","End of year 14")</f>
      </c>
    </row>
    <row r="180" spans="1:8" ht="15">
      <c r="A180" s="189">
        <f>IF(B180="","","Jan")</f>
      </c>
      <c r="B180">
        <f t="shared" si="38"/>
      </c>
      <c r="C180" s="180">
        <f t="shared" si="43"/>
      </c>
      <c r="D180" s="180">
        <f t="shared" si="39"/>
      </c>
      <c r="E180" s="180">
        <f t="shared" si="33"/>
      </c>
      <c r="F180" s="180">
        <f t="shared" si="44"/>
      </c>
      <c r="G180" s="180">
        <f t="shared" si="45"/>
      </c>
      <c r="H180" s="180">
        <f t="shared" si="34"/>
      </c>
    </row>
    <row r="181" spans="1:8" ht="15">
      <c r="A181" s="189">
        <f>IF(B181="","","Feb")</f>
      </c>
      <c r="B181">
        <f t="shared" si="38"/>
      </c>
      <c r="C181" s="180">
        <f t="shared" si="43"/>
      </c>
      <c r="D181" s="180">
        <f t="shared" si="39"/>
      </c>
      <c r="E181" s="180">
        <f t="shared" si="33"/>
      </c>
      <c r="F181" s="180">
        <f t="shared" si="44"/>
      </c>
      <c r="G181" s="180">
        <f t="shared" si="45"/>
      </c>
      <c r="H181" s="180">
        <f t="shared" si="34"/>
      </c>
    </row>
    <row r="182" spans="1:8" ht="15">
      <c r="A182" s="189">
        <f>IF(B182="","","Mar")</f>
      </c>
      <c r="B182">
        <f t="shared" si="38"/>
      </c>
      <c r="C182" s="180">
        <f t="shared" si="43"/>
      </c>
      <c r="D182" s="180">
        <f t="shared" si="39"/>
      </c>
      <c r="E182" s="180">
        <f t="shared" si="33"/>
      </c>
      <c r="F182" s="180">
        <f t="shared" si="44"/>
      </c>
      <c r="G182" s="180">
        <f t="shared" si="45"/>
      </c>
      <c r="H182" s="180">
        <f t="shared" si="34"/>
      </c>
    </row>
    <row r="183" spans="1:8" ht="15">
      <c r="A183" s="189">
        <f>IF(B183="","","Apr")</f>
      </c>
      <c r="B183">
        <f t="shared" si="38"/>
      </c>
      <c r="C183" s="180">
        <f t="shared" si="43"/>
      </c>
      <c r="D183" s="180">
        <f t="shared" si="39"/>
      </c>
      <c r="E183" s="180">
        <f t="shared" si="33"/>
      </c>
      <c r="F183" s="180">
        <f t="shared" si="44"/>
      </c>
      <c r="G183" s="180">
        <f t="shared" si="45"/>
      </c>
      <c r="H183" s="180">
        <f t="shared" si="34"/>
      </c>
    </row>
    <row r="184" spans="1:8" ht="15">
      <c r="A184" s="189">
        <f>IF(B184="","","May")</f>
      </c>
      <c r="B184">
        <f t="shared" si="38"/>
      </c>
      <c r="C184" s="180">
        <f t="shared" si="43"/>
      </c>
      <c r="D184" s="180">
        <f t="shared" si="39"/>
      </c>
      <c r="E184" s="180">
        <f t="shared" si="33"/>
      </c>
      <c r="F184" s="180">
        <f t="shared" si="44"/>
      </c>
      <c r="G184" s="180">
        <f t="shared" si="45"/>
      </c>
      <c r="H184" s="180">
        <f t="shared" si="34"/>
      </c>
    </row>
    <row r="185" spans="1:8" ht="15">
      <c r="A185" s="189">
        <f>IF(B185="","","Jun")</f>
      </c>
      <c r="B185">
        <f t="shared" si="38"/>
      </c>
      <c r="C185" s="180">
        <f t="shared" si="43"/>
      </c>
      <c r="D185" s="180">
        <f t="shared" si="39"/>
      </c>
      <c r="E185" s="180">
        <f t="shared" si="33"/>
      </c>
      <c r="F185" s="180">
        <f t="shared" si="44"/>
      </c>
      <c r="G185" s="180">
        <f t="shared" si="45"/>
      </c>
      <c r="H185" s="180">
        <f t="shared" si="34"/>
      </c>
    </row>
    <row r="186" spans="1:8" ht="15">
      <c r="A186" s="189">
        <f>IF(B186="","","Jul")</f>
      </c>
      <c r="B186">
        <f t="shared" si="38"/>
      </c>
      <c r="C186" s="180">
        <f t="shared" si="43"/>
      </c>
      <c r="D186" s="180">
        <f t="shared" si="39"/>
      </c>
      <c r="E186" s="180">
        <f t="shared" si="33"/>
      </c>
      <c r="F186" s="180">
        <f t="shared" si="44"/>
      </c>
      <c r="G186" s="180">
        <f t="shared" si="45"/>
      </c>
      <c r="H186" s="180">
        <f t="shared" si="34"/>
      </c>
    </row>
    <row r="187" spans="1:9" ht="15">
      <c r="A187" s="189">
        <f>IF(B187="","","Aug")</f>
      </c>
      <c r="B187">
        <f t="shared" si="38"/>
      </c>
      <c r="C187" s="180">
        <f t="shared" si="43"/>
      </c>
      <c r="D187" s="180">
        <f t="shared" si="39"/>
      </c>
      <c r="E187" s="180">
        <f t="shared" si="33"/>
      </c>
      <c r="F187" s="180">
        <f t="shared" si="44"/>
      </c>
      <c r="G187" s="180">
        <f t="shared" si="45"/>
      </c>
      <c r="H187" s="180">
        <f t="shared" si="34"/>
      </c>
      <c r="I187" s="183">
        <f>IF(B180="","","Principal")</f>
      </c>
    </row>
    <row r="188" spans="1:9" ht="15">
      <c r="A188" s="189">
        <f>IF(B188="","","Sep")</f>
      </c>
      <c r="B188">
        <f t="shared" si="38"/>
      </c>
      <c r="C188" s="180">
        <f t="shared" si="43"/>
      </c>
      <c r="D188" s="180">
        <f t="shared" si="39"/>
      </c>
      <c r="E188" s="180">
        <f t="shared" si="33"/>
      </c>
      <c r="F188" s="180">
        <f t="shared" si="44"/>
      </c>
      <c r="G188" s="180">
        <f t="shared" si="45"/>
      </c>
      <c r="H188" s="180">
        <f t="shared" si="34"/>
      </c>
      <c r="I188" s="184">
        <f>IF(B180="","",SUM(E180:E191))</f>
      </c>
    </row>
    <row r="189" spans="1:9" ht="15">
      <c r="A189" s="189">
        <f>IF(B189="","","Oct")</f>
      </c>
      <c r="B189">
        <f t="shared" si="38"/>
      </c>
      <c r="C189" s="180">
        <f t="shared" si="43"/>
      </c>
      <c r="D189" s="180">
        <f t="shared" si="39"/>
      </c>
      <c r="E189" s="180">
        <f t="shared" si="33"/>
      </c>
      <c r="F189" s="180">
        <f t="shared" si="44"/>
      </c>
      <c r="G189" s="180">
        <f t="shared" si="45"/>
      </c>
      <c r="H189" s="180">
        <f t="shared" si="34"/>
      </c>
      <c r="I189" s="183">
        <f>IF(B180="","","Interest")</f>
      </c>
    </row>
    <row r="190" spans="1:9" ht="15">
      <c r="A190" s="189">
        <f>IF(B190="","","Nov")</f>
      </c>
      <c r="B190">
        <f t="shared" si="38"/>
      </c>
      <c r="C190" s="180">
        <f aca="true" t="shared" si="46" ref="C190:C205">IF(B190="","",F189)</f>
      </c>
      <c r="D190" s="180">
        <f t="shared" si="39"/>
      </c>
      <c r="E190" s="180">
        <f t="shared" si="33"/>
      </c>
      <c r="F190" s="180">
        <f aca="true" t="shared" si="47" ref="F190:F205">IF(B190="","",C190-E190)</f>
      </c>
      <c r="G190" s="180">
        <f aca="true" t="shared" si="48" ref="G190:G205">IF(B190="","",G189+E190)</f>
      </c>
      <c r="H190" s="180">
        <f t="shared" si="34"/>
      </c>
      <c r="I190" s="184">
        <f>IF(B180="","",SUM(D180:D191))</f>
      </c>
    </row>
    <row r="191" spans="1:9" ht="15">
      <c r="A191" s="190">
        <f>IF(B191="","","Dec")</f>
      </c>
      <c r="B191" s="185">
        <f t="shared" si="38"/>
      </c>
      <c r="C191" s="186">
        <f t="shared" si="46"/>
      </c>
      <c r="D191" s="186">
        <f t="shared" si="39"/>
      </c>
      <c r="E191" s="186">
        <f t="shared" si="33"/>
      </c>
      <c r="F191" s="186">
        <f t="shared" si="47"/>
      </c>
      <c r="G191" s="186">
        <f t="shared" si="48"/>
      </c>
      <c r="H191" s="186">
        <f t="shared" si="34"/>
      </c>
      <c r="I191" s="185">
        <f>IF(B180="","","End of year 15")</f>
      </c>
    </row>
    <row r="192" spans="1:8" ht="15">
      <c r="A192" s="189">
        <f>IF(B192="","","Jan")</f>
      </c>
      <c r="B192">
        <f t="shared" si="38"/>
      </c>
      <c r="C192" s="180">
        <f t="shared" si="46"/>
      </c>
      <c r="D192" s="180">
        <f t="shared" si="39"/>
      </c>
      <c r="E192" s="180">
        <f t="shared" si="33"/>
      </c>
      <c r="F192" s="180">
        <f t="shared" si="47"/>
      </c>
      <c r="G192" s="180">
        <f t="shared" si="48"/>
      </c>
      <c r="H192" s="180">
        <f t="shared" si="34"/>
      </c>
    </row>
    <row r="193" spans="1:8" ht="15">
      <c r="A193" s="189">
        <f>IF(B193="","","Feb")</f>
      </c>
      <c r="B193">
        <f t="shared" si="38"/>
      </c>
      <c r="C193" s="180">
        <f t="shared" si="46"/>
      </c>
      <c r="D193" s="180">
        <f t="shared" si="39"/>
      </c>
      <c r="E193" s="180">
        <f t="shared" si="33"/>
      </c>
      <c r="F193" s="180">
        <f t="shared" si="47"/>
      </c>
      <c r="G193" s="180">
        <f t="shared" si="48"/>
      </c>
      <c r="H193" s="180">
        <f t="shared" si="34"/>
      </c>
    </row>
    <row r="194" spans="1:8" ht="15">
      <c r="A194" s="189">
        <f>IF(B194="","","Mar")</f>
      </c>
      <c r="B194">
        <f t="shared" si="38"/>
      </c>
      <c r="C194" s="180">
        <f t="shared" si="46"/>
      </c>
      <c r="D194" s="180">
        <f t="shared" si="39"/>
      </c>
      <c r="E194" s="180">
        <f t="shared" si="33"/>
      </c>
      <c r="F194" s="180">
        <f t="shared" si="47"/>
      </c>
      <c r="G194" s="180">
        <f t="shared" si="48"/>
      </c>
      <c r="H194" s="180">
        <f t="shared" si="34"/>
      </c>
    </row>
    <row r="195" spans="1:8" ht="15">
      <c r="A195" s="189">
        <f>IF(B195="","","Apr")</f>
      </c>
      <c r="B195">
        <f t="shared" si="38"/>
      </c>
      <c r="C195" s="180">
        <f t="shared" si="46"/>
      </c>
      <c r="D195" s="180">
        <f t="shared" si="39"/>
      </c>
      <c r="E195" s="180">
        <f t="shared" si="33"/>
      </c>
      <c r="F195" s="180">
        <f t="shared" si="47"/>
      </c>
      <c r="G195" s="180">
        <f t="shared" si="48"/>
      </c>
      <c r="H195" s="180">
        <f t="shared" si="34"/>
      </c>
    </row>
    <row r="196" spans="1:8" ht="15">
      <c r="A196" s="189">
        <f>IF(B196="","","May")</f>
      </c>
      <c r="B196">
        <f t="shared" si="38"/>
      </c>
      <c r="C196" s="180">
        <f t="shared" si="46"/>
      </c>
      <c r="D196" s="180">
        <f t="shared" si="39"/>
      </c>
      <c r="E196" s="180">
        <f t="shared" si="33"/>
      </c>
      <c r="F196" s="180">
        <f t="shared" si="47"/>
      </c>
      <c r="G196" s="180">
        <f t="shared" si="48"/>
      </c>
      <c r="H196" s="180">
        <f t="shared" si="34"/>
      </c>
    </row>
    <row r="197" spans="1:8" ht="15">
      <c r="A197" s="189">
        <f>IF(B197="","","Jun")</f>
      </c>
      <c r="B197">
        <f t="shared" si="38"/>
      </c>
      <c r="C197" s="180">
        <f t="shared" si="46"/>
      </c>
      <c r="D197" s="180">
        <f t="shared" si="39"/>
      </c>
      <c r="E197" s="180">
        <f t="shared" si="33"/>
      </c>
      <c r="F197" s="180">
        <f t="shared" si="47"/>
      </c>
      <c r="G197" s="180">
        <f t="shared" si="48"/>
      </c>
      <c r="H197" s="180">
        <f t="shared" si="34"/>
      </c>
    </row>
    <row r="198" spans="1:8" ht="15">
      <c r="A198" s="189">
        <f>IF(B198="","","Jul")</f>
      </c>
      <c r="B198">
        <f t="shared" si="38"/>
      </c>
      <c r="C198" s="180">
        <f t="shared" si="46"/>
      </c>
      <c r="D198" s="180">
        <f t="shared" si="39"/>
      </c>
      <c r="E198" s="180">
        <f t="shared" si="33"/>
      </c>
      <c r="F198" s="180">
        <f t="shared" si="47"/>
      </c>
      <c r="G198" s="180">
        <f t="shared" si="48"/>
      </c>
      <c r="H198" s="180">
        <f t="shared" si="34"/>
      </c>
    </row>
    <row r="199" spans="1:9" ht="15">
      <c r="A199" s="189">
        <f>IF(B199="","","Aug")</f>
      </c>
      <c r="B199">
        <f t="shared" si="38"/>
      </c>
      <c r="C199" s="180">
        <f t="shared" si="46"/>
      </c>
      <c r="D199" s="180">
        <f t="shared" si="39"/>
      </c>
      <c r="E199" s="180">
        <f t="shared" si="33"/>
      </c>
      <c r="F199" s="180">
        <f t="shared" si="47"/>
      </c>
      <c r="G199" s="180">
        <f t="shared" si="48"/>
      </c>
      <c r="H199" s="180">
        <f t="shared" si="34"/>
      </c>
      <c r="I199" s="183">
        <f>IF(B192="","","Principal")</f>
      </c>
    </row>
    <row r="200" spans="1:9" ht="15">
      <c r="A200" s="189">
        <f>IF(B200="","","Sep")</f>
      </c>
      <c r="B200">
        <f t="shared" si="38"/>
      </c>
      <c r="C200" s="180">
        <f t="shared" si="46"/>
      </c>
      <c r="D200" s="180">
        <f t="shared" si="39"/>
      </c>
      <c r="E200" s="180">
        <f t="shared" si="33"/>
      </c>
      <c r="F200" s="180">
        <f t="shared" si="47"/>
      </c>
      <c r="G200" s="180">
        <f t="shared" si="48"/>
      </c>
      <c r="H200" s="180">
        <f t="shared" si="34"/>
      </c>
      <c r="I200" s="184">
        <f>IF(B192="","",SUM(E192:E203))</f>
      </c>
    </row>
    <row r="201" spans="1:9" ht="15">
      <c r="A201" s="189">
        <f>IF(B201="","","Oct")</f>
      </c>
      <c r="B201">
        <f t="shared" si="38"/>
      </c>
      <c r="C201" s="180">
        <f t="shared" si="46"/>
      </c>
      <c r="D201" s="180">
        <f t="shared" si="39"/>
      </c>
      <c r="E201" s="180">
        <f t="shared" si="33"/>
      </c>
      <c r="F201" s="180">
        <f t="shared" si="47"/>
      </c>
      <c r="G201" s="180">
        <f t="shared" si="48"/>
      </c>
      <c r="H201" s="180">
        <f t="shared" si="34"/>
      </c>
      <c r="I201" s="183">
        <f>IF(B192="","","Interest")</f>
      </c>
    </row>
    <row r="202" spans="1:9" ht="15">
      <c r="A202" s="189">
        <f>IF(B202="","","Nov")</f>
      </c>
      <c r="B202">
        <f t="shared" si="38"/>
      </c>
      <c r="C202" s="180">
        <f t="shared" si="46"/>
      </c>
      <c r="D202" s="180">
        <f t="shared" si="39"/>
      </c>
      <c r="E202" s="180">
        <f t="shared" si="33"/>
      </c>
      <c r="F202" s="180">
        <f t="shared" si="47"/>
      </c>
      <c r="G202" s="180">
        <f t="shared" si="48"/>
      </c>
      <c r="H202" s="180">
        <f t="shared" si="34"/>
      </c>
      <c r="I202" s="184">
        <f>IF(B192="","",SUM(D192:D203))</f>
      </c>
    </row>
    <row r="203" spans="1:9" ht="15">
      <c r="A203" s="190">
        <f>IF(B203="","","Dec")</f>
      </c>
      <c r="B203" s="185">
        <f t="shared" si="38"/>
      </c>
      <c r="C203" s="186">
        <f t="shared" si="46"/>
      </c>
      <c r="D203" s="186">
        <f t="shared" si="39"/>
      </c>
      <c r="E203" s="186">
        <f t="shared" si="33"/>
      </c>
      <c r="F203" s="186">
        <f t="shared" si="47"/>
      </c>
      <c r="G203" s="186">
        <f t="shared" si="48"/>
      </c>
      <c r="H203" s="186">
        <f t="shared" si="34"/>
      </c>
      <c r="I203" s="185">
        <f>IF(B192="","","End of year 16")</f>
      </c>
    </row>
    <row r="204" spans="1:8" ht="15">
      <c r="A204" s="189">
        <f>IF(B204="","","Jan")</f>
      </c>
      <c r="B204">
        <f t="shared" si="38"/>
      </c>
      <c r="C204" s="180">
        <f t="shared" si="46"/>
      </c>
      <c r="D204" s="180">
        <f t="shared" si="39"/>
      </c>
      <c r="E204" s="180">
        <f t="shared" si="33"/>
      </c>
      <c r="F204" s="180">
        <f t="shared" si="47"/>
      </c>
      <c r="G204" s="180">
        <f t="shared" si="48"/>
      </c>
      <c r="H204" s="180">
        <f t="shared" si="34"/>
      </c>
    </row>
    <row r="205" spans="1:8" ht="15">
      <c r="A205" s="189">
        <f>IF(B205="","","Feb")</f>
      </c>
      <c r="B205">
        <f t="shared" si="38"/>
      </c>
      <c r="C205" s="180">
        <f t="shared" si="46"/>
      </c>
      <c r="D205" s="180">
        <f t="shared" si="39"/>
      </c>
      <c r="E205" s="180">
        <f aca="true" t="shared" si="49" ref="E205:E268">IF(B205="","",IF(C205+D205&lt;($G$3+$C$7),(C205+D205)-D205,($G$3+$C$7)-D205))</f>
      </c>
      <c r="F205" s="180">
        <f t="shared" si="47"/>
      </c>
      <c r="G205" s="180">
        <f t="shared" si="48"/>
      </c>
      <c r="H205" s="180">
        <f aca="true" t="shared" si="50" ref="H205:H268">IF(B205="","",H204+D205)</f>
      </c>
    </row>
    <row r="206" spans="1:8" ht="15">
      <c r="A206" s="189">
        <f>IF(B206="","","Mar")</f>
      </c>
      <c r="B206">
        <f t="shared" si="38"/>
      </c>
      <c r="C206" s="180">
        <f aca="true" t="shared" si="51" ref="C206:C221">IF(B206="","",F205)</f>
      </c>
      <c r="D206" s="180">
        <f t="shared" si="39"/>
      </c>
      <c r="E206" s="180">
        <f t="shared" si="49"/>
      </c>
      <c r="F206" s="180">
        <f aca="true" t="shared" si="52" ref="F206:F221">IF(B206="","",C206-E206)</f>
      </c>
      <c r="G206" s="180">
        <f aca="true" t="shared" si="53" ref="G206:G221">IF(B206="","",G205+E206)</f>
      </c>
      <c r="H206" s="180">
        <f t="shared" si="50"/>
      </c>
    </row>
    <row r="207" spans="1:8" ht="15">
      <c r="A207" s="189">
        <f>IF(B207="","","Apr")</f>
      </c>
      <c r="B207">
        <f t="shared" si="38"/>
      </c>
      <c r="C207" s="180">
        <f t="shared" si="51"/>
      </c>
      <c r="D207" s="180">
        <f t="shared" si="39"/>
      </c>
      <c r="E207" s="180">
        <f t="shared" si="49"/>
      </c>
      <c r="F207" s="180">
        <f t="shared" si="52"/>
      </c>
      <c r="G207" s="180">
        <f t="shared" si="53"/>
      </c>
      <c r="H207" s="180">
        <f t="shared" si="50"/>
      </c>
    </row>
    <row r="208" spans="1:8" ht="15">
      <c r="A208" s="189">
        <f>IF(B208="","","May")</f>
      </c>
      <c r="B208">
        <f t="shared" si="38"/>
      </c>
      <c r="C208" s="180">
        <f t="shared" si="51"/>
      </c>
      <c r="D208" s="180">
        <f t="shared" si="39"/>
      </c>
      <c r="E208" s="180">
        <f t="shared" si="49"/>
      </c>
      <c r="F208" s="180">
        <f t="shared" si="52"/>
      </c>
      <c r="G208" s="180">
        <f t="shared" si="53"/>
      </c>
      <c r="H208" s="180">
        <f t="shared" si="50"/>
      </c>
    </row>
    <row r="209" spans="1:8" ht="15">
      <c r="A209" s="189">
        <f>IF(B209="","","Jun")</f>
      </c>
      <c r="B209">
        <f t="shared" si="38"/>
      </c>
      <c r="C209" s="180">
        <f t="shared" si="51"/>
      </c>
      <c r="D209" s="180">
        <f t="shared" si="39"/>
      </c>
      <c r="E209" s="180">
        <f t="shared" si="49"/>
      </c>
      <c r="F209" s="180">
        <f t="shared" si="52"/>
      </c>
      <c r="G209" s="180">
        <f t="shared" si="53"/>
      </c>
      <c r="H209" s="180">
        <f t="shared" si="50"/>
      </c>
    </row>
    <row r="210" spans="1:8" ht="15">
      <c r="A210" s="189">
        <f>IF(B210="","","Jul")</f>
      </c>
      <c r="B210">
        <f t="shared" si="38"/>
      </c>
      <c r="C210" s="180">
        <f t="shared" si="51"/>
      </c>
      <c r="D210" s="180">
        <f t="shared" si="39"/>
      </c>
      <c r="E210" s="180">
        <f t="shared" si="49"/>
      </c>
      <c r="F210" s="180">
        <f t="shared" si="52"/>
      </c>
      <c r="G210" s="180">
        <f t="shared" si="53"/>
      </c>
      <c r="H210" s="180">
        <f t="shared" si="50"/>
      </c>
    </row>
    <row r="211" spans="1:9" ht="15">
      <c r="A211" s="189">
        <f>IF(B211="","","Aug")</f>
      </c>
      <c r="B211">
        <f t="shared" si="38"/>
      </c>
      <c r="C211" s="180">
        <f t="shared" si="51"/>
      </c>
      <c r="D211" s="180">
        <f t="shared" si="39"/>
      </c>
      <c r="E211" s="180">
        <f t="shared" si="49"/>
      </c>
      <c r="F211" s="180">
        <f t="shared" si="52"/>
      </c>
      <c r="G211" s="180">
        <f t="shared" si="53"/>
      </c>
      <c r="H211" s="180">
        <f t="shared" si="50"/>
      </c>
      <c r="I211" s="183">
        <f>IF(B204="","","Principal")</f>
      </c>
    </row>
    <row r="212" spans="1:9" ht="15">
      <c r="A212" s="189">
        <f>IF(B212="","","Sep")</f>
      </c>
      <c r="B212">
        <f t="shared" si="38"/>
      </c>
      <c r="C212" s="180">
        <f t="shared" si="51"/>
      </c>
      <c r="D212" s="180">
        <f t="shared" si="39"/>
      </c>
      <c r="E212" s="180">
        <f t="shared" si="49"/>
      </c>
      <c r="F212" s="180">
        <f t="shared" si="52"/>
      </c>
      <c r="G212" s="180">
        <f t="shared" si="53"/>
      </c>
      <c r="H212" s="180">
        <f t="shared" si="50"/>
      </c>
      <c r="I212" s="184">
        <f>IF(B204="","",SUM(E204:E215))</f>
      </c>
    </row>
    <row r="213" spans="1:9" ht="15">
      <c r="A213" s="189">
        <f>IF(B213="","","Oct")</f>
      </c>
      <c r="B213">
        <f t="shared" si="38"/>
      </c>
      <c r="C213" s="180">
        <f t="shared" si="51"/>
      </c>
      <c r="D213" s="180">
        <f t="shared" si="39"/>
      </c>
      <c r="E213" s="180">
        <f t="shared" si="49"/>
      </c>
      <c r="F213" s="180">
        <f t="shared" si="52"/>
      </c>
      <c r="G213" s="180">
        <f t="shared" si="53"/>
      </c>
      <c r="H213" s="180">
        <f t="shared" si="50"/>
      </c>
      <c r="I213" s="183">
        <f>IF(B204="","","Interest")</f>
      </c>
    </row>
    <row r="214" spans="1:9" ht="15">
      <c r="A214" s="189">
        <f>IF(B214="","","Nov")</f>
      </c>
      <c r="B214">
        <f t="shared" si="38"/>
      </c>
      <c r="C214" s="180">
        <f t="shared" si="51"/>
      </c>
      <c r="D214" s="180">
        <f t="shared" si="39"/>
      </c>
      <c r="E214" s="180">
        <f t="shared" si="49"/>
      </c>
      <c r="F214" s="180">
        <f t="shared" si="52"/>
      </c>
      <c r="G214" s="180">
        <f t="shared" si="53"/>
      </c>
      <c r="H214" s="180">
        <f t="shared" si="50"/>
      </c>
      <c r="I214" s="184">
        <f>IF(B204="","",SUM(D204:D215))</f>
      </c>
    </row>
    <row r="215" spans="1:9" ht="15">
      <c r="A215" s="190">
        <f>IF(B215="","","Dec")</f>
      </c>
      <c r="B215" s="185">
        <f t="shared" si="38"/>
      </c>
      <c r="C215" s="186">
        <f t="shared" si="51"/>
      </c>
      <c r="D215" s="186">
        <f t="shared" si="39"/>
      </c>
      <c r="E215" s="186">
        <f t="shared" si="49"/>
      </c>
      <c r="F215" s="186">
        <f t="shared" si="52"/>
      </c>
      <c r="G215" s="186">
        <f t="shared" si="53"/>
      </c>
      <c r="H215" s="186">
        <f t="shared" si="50"/>
      </c>
      <c r="I215" s="185">
        <f>IF(B204="","","End of year 17")</f>
      </c>
    </row>
    <row r="216" spans="1:8" ht="15">
      <c r="A216" s="189">
        <f>IF(B216="","","Jan")</f>
      </c>
      <c r="B216">
        <f t="shared" si="38"/>
      </c>
      <c r="C216" s="180">
        <f t="shared" si="51"/>
      </c>
      <c r="D216" s="180">
        <f t="shared" si="39"/>
      </c>
      <c r="E216" s="180">
        <f t="shared" si="49"/>
      </c>
      <c r="F216" s="180">
        <f t="shared" si="52"/>
      </c>
      <c r="G216" s="180">
        <f t="shared" si="53"/>
      </c>
      <c r="H216" s="180">
        <f t="shared" si="50"/>
      </c>
    </row>
    <row r="217" spans="1:8" ht="15">
      <c r="A217" s="189">
        <f>IF(B217="","","Feb")</f>
      </c>
      <c r="B217">
        <f aca="true" t="shared" si="54" ref="B217:B280">IF(B216=ABS($C$5),"",IF(B216="","",IF(G216&gt;=$C$3,"",B216+1)))</f>
      </c>
      <c r="C217" s="180">
        <f t="shared" si="51"/>
      </c>
      <c r="D217" s="180">
        <f t="shared" si="39"/>
      </c>
      <c r="E217" s="180">
        <f t="shared" si="49"/>
      </c>
      <c r="F217" s="180">
        <f t="shared" si="52"/>
      </c>
      <c r="G217" s="180">
        <f t="shared" si="53"/>
      </c>
      <c r="H217" s="180">
        <f t="shared" si="50"/>
      </c>
    </row>
    <row r="218" spans="1:8" ht="15">
      <c r="A218" s="189">
        <f>IF(B218="","","Mar")</f>
      </c>
      <c r="B218">
        <f t="shared" si="54"/>
      </c>
      <c r="C218" s="180">
        <f t="shared" si="51"/>
      </c>
      <c r="D218" s="180">
        <f aca="true" t="shared" si="55" ref="D218:D281">IF(B218="","",C218*(($C$4/100)/12))</f>
      </c>
      <c r="E218" s="180">
        <f t="shared" si="49"/>
      </c>
      <c r="F218" s="180">
        <f t="shared" si="52"/>
      </c>
      <c r="G218" s="180">
        <f t="shared" si="53"/>
      </c>
      <c r="H218" s="180">
        <f t="shared" si="50"/>
      </c>
    </row>
    <row r="219" spans="1:8" ht="15">
      <c r="A219" s="189">
        <f>IF(B219="","","Apr")</f>
      </c>
      <c r="B219">
        <f t="shared" si="54"/>
      </c>
      <c r="C219" s="180">
        <f t="shared" si="51"/>
      </c>
      <c r="D219" s="180">
        <f t="shared" si="55"/>
      </c>
      <c r="E219" s="180">
        <f t="shared" si="49"/>
      </c>
      <c r="F219" s="180">
        <f t="shared" si="52"/>
      </c>
      <c r="G219" s="180">
        <f t="shared" si="53"/>
      </c>
      <c r="H219" s="180">
        <f t="shared" si="50"/>
      </c>
    </row>
    <row r="220" spans="1:8" ht="15">
      <c r="A220" s="189">
        <f>IF(B220="","","May")</f>
      </c>
      <c r="B220">
        <f t="shared" si="54"/>
      </c>
      <c r="C220" s="180">
        <f t="shared" si="51"/>
      </c>
      <c r="D220" s="180">
        <f t="shared" si="55"/>
      </c>
      <c r="E220" s="180">
        <f t="shared" si="49"/>
      </c>
      <c r="F220" s="180">
        <f t="shared" si="52"/>
      </c>
      <c r="G220" s="180">
        <f t="shared" si="53"/>
      </c>
      <c r="H220" s="180">
        <f t="shared" si="50"/>
      </c>
    </row>
    <row r="221" spans="1:8" ht="15">
      <c r="A221" s="189">
        <f>IF(B221="","","Jun")</f>
      </c>
      <c r="B221">
        <f t="shared" si="54"/>
      </c>
      <c r="C221" s="180">
        <f t="shared" si="51"/>
      </c>
      <c r="D221" s="180">
        <f t="shared" si="55"/>
      </c>
      <c r="E221" s="180">
        <f t="shared" si="49"/>
      </c>
      <c r="F221" s="180">
        <f t="shared" si="52"/>
      </c>
      <c r="G221" s="180">
        <f t="shared" si="53"/>
      </c>
      <c r="H221" s="180">
        <f t="shared" si="50"/>
      </c>
    </row>
    <row r="222" spans="1:8" ht="15">
      <c r="A222" s="189">
        <f>IF(B222="","","Jul")</f>
      </c>
      <c r="B222">
        <f t="shared" si="54"/>
      </c>
      <c r="C222" s="180">
        <f aca="true" t="shared" si="56" ref="C222:C237">IF(B222="","",F221)</f>
      </c>
      <c r="D222" s="180">
        <f t="shared" si="55"/>
      </c>
      <c r="E222" s="180">
        <f t="shared" si="49"/>
      </c>
      <c r="F222" s="180">
        <f aca="true" t="shared" si="57" ref="F222:F237">IF(B222="","",C222-E222)</f>
      </c>
      <c r="G222" s="180">
        <f aca="true" t="shared" si="58" ref="G222:G237">IF(B222="","",G221+E222)</f>
      </c>
      <c r="H222" s="180">
        <f t="shared" si="50"/>
      </c>
    </row>
    <row r="223" spans="1:9" ht="15">
      <c r="A223" s="189">
        <f>IF(B223="","","Aug")</f>
      </c>
      <c r="B223">
        <f t="shared" si="54"/>
      </c>
      <c r="C223" s="180">
        <f t="shared" si="56"/>
      </c>
      <c r="D223" s="180">
        <f t="shared" si="55"/>
      </c>
      <c r="E223" s="180">
        <f t="shared" si="49"/>
      </c>
      <c r="F223" s="180">
        <f t="shared" si="57"/>
      </c>
      <c r="G223" s="180">
        <f t="shared" si="58"/>
      </c>
      <c r="H223" s="180">
        <f t="shared" si="50"/>
      </c>
      <c r="I223" s="183">
        <f>IF(B216="","","Principal")</f>
      </c>
    </row>
    <row r="224" spans="1:9" ht="15">
      <c r="A224" s="189">
        <f>IF(B224="","","Sep")</f>
      </c>
      <c r="B224">
        <f t="shared" si="54"/>
      </c>
      <c r="C224" s="180">
        <f t="shared" si="56"/>
      </c>
      <c r="D224" s="180">
        <f t="shared" si="55"/>
      </c>
      <c r="E224" s="180">
        <f t="shared" si="49"/>
      </c>
      <c r="F224" s="180">
        <f t="shared" si="57"/>
      </c>
      <c r="G224" s="180">
        <f t="shared" si="58"/>
      </c>
      <c r="H224" s="180">
        <f t="shared" si="50"/>
      </c>
      <c r="I224" s="184">
        <f>IF(B216="","",SUM(E216:E227))</f>
      </c>
    </row>
    <row r="225" spans="1:9" ht="15">
      <c r="A225" s="189">
        <f>IF(B225="","","Oct")</f>
      </c>
      <c r="B225">
        <f t="shared" si="54"/>
      </c>
      <c r="C225" s="180">
        <f t="shared" si="56"/>
      </c>
      <c r="D225" s="180">
        <f t="shared" si="55"/>
      </c>
      <c r="E225" s="180">
        <f t="shared" si="49"/>
      </c>
      <c r="F225" s="180">
        <f t="shared" si="57"/>
      </c>
      <c r="G225" s="180">
        <f t="shared" si="58"/>
      </c>
      <c r="H225" s="180">
        <f t="shared" si="50"/>
      </c>
      <c r="I225" s="183">
        <f>IF(B216="","","Interest")</f>
      </c>
    </row>
    <row r="226" spans="1:9" ht="15">
      <c r="A226" s="189">
        <f>IF(B226="","","Nov")</f>
      </c>
      <c r="B226">
        <f t="shared" si="54"/>
      </c>
      <c r="C226" s="180">
        <f t="shared" si="56"/>
      </c>
      <c r="D226" s="180">
        <f t="shared" si="55"/>
      </c>
      <c r="E226" s="180">
        <f t="shared" si="49"/>
      </c>
      <c r="F226" s="180">
        <f t="shared" si="57"/>
      </c>
      <c r="G226" s="180">
        <f t="shared" si="58"/>
      </c>
      <c r="H226" s="180">
        <f t="shared" si="50"/>
      </c>
      <c r="I226" s="184">
        <f>IF(B216="","",SUM(D216:D227))</f>
      </c>
    </row>
    <row r="227" spans="1:9" ht="15">
      <c r="A227" s="190">
        <f>IF(B227="","","Dec")</f>
      </c>
      <c r="B227" s="185">
        <f t="shared" si="54"/>
      </c>
      <c r="C227" s="186">
        <f t="shared" si="56"/>
      </c>
      <c r="D227" s="186">
        <f t="shared" si="55"/>
      </c>
      <c r="E227" s="186">
        <f t="shared" si="49"/>
      </c>
      <c r="F227" s="186">
        <f t="shared" si="57"/>
      </c>
      <c r="G227" s="186">
        <f t="shared" si="58"/>
      </c>
      <c r="H227" s="186">
        <f t="shared" si="50"/>
      </c>
      <c r="I227" s="185">
        <f>IF(B216="","","End of year 18")</f>
      </c>
    </row>
    <row r="228" spans="1:8" ht="15">
      <c r="A228" s="189">
        <f>IF(B228="","","Jan")</f>
      </c>
      <c r="B228">
        <f t="shared" si="54"/>
      </c>
      <c r="C228" s="180">
        <f t="shared" si="56"/>
      </c>
      <c r="D228" s="180">
        <f t="shared" si="55"/>
      </c>
      <c r="E228" s="180">
        <f t="shared" si="49"/>
      </c>
      <c r="F228" s="180">
        <f t="shared" si="57"/>
      </c>
      <c r="G228" s="180">
        <f t="shared" si="58"/>
      </c>
      <c r="H228" s="180">
        <f t="shared" si="50"/>
      </c>
    </row>
    <row r="229" spans="1:8" ht="15">
      <c r="A229" s="189">
        <f>IF(B229="","","Feb")</f>
      </c>
      <c r="B229">
        <f t="shared" si="54"/>
      </c>
      <c r="C229" s="180">
        <f t="shared" si="56"/>
      </c>
      <c r="D229" s="180">
        <f t="shared" si="55"/>
      </c>
      <c r="E229" s="180">
        <f t="shared" si="49"/>
      </c>
      <c r="F229" s="180">
        <f t="shared" si="57"/>
      </c>
      <c r="G229" s="180">
        <f t="shared" si="58"/>
      </c>
      <c r="H229" s="180">
        <f t="shared" si="50"/>
      </c>
    </row>
    <row r="230" spans="1:8" ht="15">
      <c r="A230" s="189">
        <f>IF(B230="","","Mar")</f>
      </c>
      <c r="B230">
        <f t="shared" si="54"/>
      </c>
      <c r="C230" s="180">
        <f t="shared" si="56"/>
      </c>
      <c r="D230" s="180">
        <f t="shared" si="55"/>
      </c>
      <c r="E230" s="180">
        <f t="shared" si="49"/>
      </c>
      <c r="F230" s="180">
        <f t="shared" si="57"/>
      </c>
      <c r="G230" s="180">
        <f t="shared" si="58"/>
      </c>
      <c r="H230" s="180">
        <f t="shared" si="50"/>
      </c>
    </row>
    <row r="231" spans="1:8" ht="15">
      <c r="A231" s="189">
        <f>IF(B231="","","Apr")</f>
      </c>
      <c r="B231">
        <f t="shared" si="54"/>
      </c>
      <c r="C231" s="180">
        <f t="shared" si="56"/>
      </c>
      <c r="D231" s="180">
        <f t="shared" si="55"/>
      </c>
      <c r="E231" s="180">
        <f t="shared" si="49"/>
      </c>
      <c r="F231" s="180">
        <f t="shared" si="57"/>
      </c>
      <c r="G231" s="180">
        <f t="shared" si="58"/>
      </c>
      <c r="H231" s="180">
        <f t="shared" si="50"/>
      </c>
    </row>
    <row r="232" spans="1:8" ht="15">
      <c r="A232" s="189">
        <f>IF(B232="","","May")</f>
      </c>
      <c r="B232">
        <f t="shared" si="54"/>
      </c>
      <c r="C232" s="180">
        <f t="shared" si="56"/>
      </c>
      <c r="D232" s="180">
        <f t="shared" si="55"/>
      </c>
      <c r="E232" s="180">
        <f t="shared" si="49"/>
      </c>
      <c r="F232" s="180">
        <f t="shared" si="57"/>
      </c>
      <c r="G232" s="180">
        <f t="shared" si="58"/>
      </c>
      <c r="H232" s="180">
        <f t="shared" si="50"/>
      </c>
    </row>
    <row r="233" spans="1:8" ht="15">
      <c r="A233" s="189">
        <f>IF(B233="","","Jun")</f>
      </c>
      <c r="B233">
        <f t="shared" si="54"/>
      </c>
      <c r="C233" s="180">
        <f t="shared" si="56"/>
      </c>
      <c r="D233" s="180">
        <f t="shared" si="55"/>
      </c>
      <c r="E233" s="180">
        <f t="shared" si="49"/>
      </c>
      <c r="F233" s="180">
        <f t="shared" si="57"/>
      </c>
      <c r="G233" s="180">
        <f t="shared" si="58"/>
      </c>
      <c r="H233" s="180">
        <f t="shared" si="50"/>
      </c>
    </row>
    <row r="234" spans="1:8" ht="15">
      <c r="A234" s="189">
        <f>IF(B234="","","Jul")</f>
      </c>
      <c r="B234">
        <f t="shared" si="54"/>
      </c>
      <c r="C234" s="180">
        <f t="shared" si="56"/>
      </c>
      <c r="D234" s="180">
        <f t="shared" si="55"/>
      </c>
      <c r="E234" s="180">
        <f t="shared" si="49"/>
      </c>
      <c r="F234" s="180">
        <f t="shared" si="57"/>
      </c>
      <c r="G234" s="180">
        <f t="shared" si="58"/>
      </c>
      <c r="H234" s="180">
        <f t="shared" si="50"/>
      </c>
    </row>
    <row r="235" spans="1:9" ht="15">
      <c r="A235" s="189">
        <f>IF(B235="","","Aug")</f>
      </c>
      <c r="B235">
        <f t="shared" si="54"/>
      </c>
      <c r="C235" s="180">
        <f t="shared" si="56"/>
      </c>
      <c r="D235" s="180">
        <f t="shared" si="55"/>
      </c>
      <c r="E235" s="180">
        <f t="shared" si="49"/>
      </c>
      <c r="F235" s="180">
        <f t="shared" si="57"/>
      </c>
      <c r="G235" s="180">
        <f t="shared" si="58"/>
      </c>
      <c r="H235" s="180">
        <f t="shared" si="50"/>
      </c>
      <c r="I235" s="183">
        <f>IF(B228="","","Principal")</f>
      </c>
    </row>
    <row r="236" spans="1:9" ht="15">
      <c r="A236" s="189">
        <f>IF(B236="","","Sep")</f>
      </c>
      <c r="B236">
        <f t="shared" si="54"/>
      </c>
      <c r="C236" s="180">
        <f t="shared" si="56"/>
      </c>
      <c r="D236" s="180">
        <f t="shared" si="55"/>
      </c>
      <c r="E236" s="180">
        <f t="shared" si="49"/>
      </c>
      <c r="F236" s="180">
        <f t="shared" si="57"/>
      </c>
      <c r="G236" s="180">
        <f t="shared" si="58"/>
      </c>
      <c r="H236" s="180">
        <f t="shared" si="50"/>
      </c>
      <c r="I236" s="184">
        <f>IF(B228="","",SUM(E228:E239))</f>
      </c>
    </row>
    <row r="237" spans="1:9" ht="15">
      <c r="A237" s="189">
        <f>IF(B237="","","Oct")</f>
      </c>
      <c r="B237">
        <f t="shared" si="54"/>
      </c>
      <c r="C237" s="180">
        <f t="shared" si="56"/>
      </c>
      <c r="D237" s="180">
        <f t="shared" si="55"/>
      </c>
      <c r="E237" s="180">
        <f t="shared" si="49"/>
      </c>
      <c r="F237" s="180">
        <f t="shared" si="57"/>
      </c>
      <c r="G237" s="180">
        <f t="shared" si="58"/>
      </c>
      <c r="H237" s="180">
        <f t="shared" si="50"/>
      </c>
      <c r="I237" s="183">
        <f>IF(B228="","","Interest")</f>
      </c>
    </row>
    <row r="238" spans="1:9" ht="15">
      <c r="A238" s="189">
        <f>IF(B238="","","Nov")</f>
      </c>
      <c r="B238">
        <f t="shared" si="54"/>
      </c>
      <c r="C238" s="180">
        <f aca="true" t="shared" si="59" ref="C238:C253">IF(B238="","",F237)</f>
      </c>
      <c r="D238" s="180">
        <f t="shared" si="55"/>
      </c>
      <c r="E238" s="180">
        <f t="shared" si="49"/>
      </c>
      <c r="F238" s="180">
        <f aca="true" t="shared" si="60" ref="F238:F253">IF(B238="","",C238-E238)</f>
      </c>
      <c r="G238" s="180">
        <f aca="true" t="shared" si="61" ref="G238:G253">IF(B238="","",G237+E238)</f>
      </c>
      <c r="H238" s="180">
        <f t="shared" si="50"/>
      </c>
      <c r="I238" s="184">
        <f>IF(B228="","",SUM(D228:D239))</f>
      </c>
    </row>
    <row r="239" spans="1:9" ht="15">
      <c r="A239" s="190">
        <f>IF(B239="","","Dec")</f>
      </c>
      <c r="B239" s="185">
        <f t="shared" si="54"/>
      </c>
      <c r="C239" s="186">
        <f t="shared" si="59"/>
      </c>
      <c r="D239" s="186">
        <f t="shared" si="55"/>
      </c>
      <c r="E239" s="186">
        <f t="shared" si="49"/>
      </c>
      <c r="F239" s="186">
        <f t="shared" si="60"/>
      </c>
      <c r="G239" s="186">
        <f t="shared" si="61"/>
      </c>
      <c r="H239" s="186">
        <f t="shared" si="50"/>
      </c>
      <c r="I239" s="185">
        <f>IF(B228="","","End of year 19")</f>
      </c>
    </row>
    <row r="240" spans="1:8" ht="15">
      <c r="A240" s="189">
        <f>IF(B240="","","Jan")</f>
      </c>
      <c r="B240">
        <f t="shared" si="54"/>
      </c>
      <c r="C240" s="180">
        <f t="shared" si="59"/>
      </c>
      <c r="D240" s="180">
        <f t="shared" si="55"/>
      </c>
      <c r="E240" s="180">
        <f t="shared" si="49"/>
      </c>
      <c r="F240" s="180">
        <f t="shared" si="60"/>
      </c>
      <c r="G240" s="180">
        <f t="shared" si="61"/>
      </c>
      <c r="H240" s="180">
        <f t="shared" si="50"/>
      </c>
    </row>
    <row r="241" spans="1:8" ht="15">
      <c r="A241" s="189">
        <f>IF(B241="","","Feb")</f>
      </c>
      <c r="B241">
        <f t="shared" si="54"/>
      </c>
      <c r="C241" s="180">
        <f t="shared" si="59"/>
      </c>
      <c r="D241" s="180">
        <f t="shared" si="55"/>
      </c>
      <c r="E241" s="180">
        <f t="shared" si="49"/>
      </c>
      <c r="F241" s="180">
        <f t="shared" si="60"/>
      </c>
      <c r="G241" s="180">
        <f t="shared" si="61"/>
      </c>
      <c r="H241" s="180">
        <f t="shared" si="50"/>
      </c>
    </row>
    <row r="242" spans="1:8" ht="15">
      <c r="A242" s="189">
        <f>IF(B242="","","Mar")</f>
      </c>
      <c r="B242">
        <f t="shared" si="54"/>
      </c>
      <c r="C242" s="180">
        <f t="shared" si="59"/>
      </c>
      <c r="D242" s="180">
        <f t="shared" si="55"/>
      </c>
      <c r="E242" s="180">
        <f t="shared" si="49"/>
      </c>
      <c r="F242" s="180">
        <f t="shared" si="60"/>
      </c>
      <c r="G242" s="180">
        <f t="shared" si="61"/>
      </c>
      <c r="H242" s="180">
        <f t="shared" si="50"/>
      </c>
    </row>
    <row r="243" spans="1:8" ht="15">
      <c r="A243" s="189">
        <f>IF(B243="","","Apr")</f>
      </c>
      <c r="B243">
        <f t="shared" si="54"/>
      </c>
      <c r="C243" s="180">
        <f t="shared" si="59"/>
      </c>
      <c r="D243" s="180">
        <f t="shared" si="55"/>
      </c>
      <c r="E243" s="180">
        <f t="shared" si="49"/>
      </c>
      <c r="F243" s="180">
        <f t="shared" si="60"/>
      </c>
      <c r="G243" s="180">
        <f t="shared" si="61"/>
      </c>
      <c r="H243" s="180">
        <f t="shared" si="50"/>
      </c>
    </row>
    <row r="244" spans="1:8" ht="15">
      <c r="A244" s="189">
        <f>IF(B244="","","May")</f>
      </c>
      <c r="B244">
        <f t="shared" si="54"/>
      </c>
      <c r="C244" s="180">
        <f t="shared" si="59"/>
      </c>
      <c r="D244" s="180">
        <f t="shared" si="55"/>
      </c>
      <c r="E244" s="180">
        <f t="shared" si="49"/>
      </c>
      <c r="F244" s="180">
        <f t="shared" si="60"/>
      </c>
      <c r="G244" s="180">
        <f t="shared" si="61"/>
      </c>
      <c r="H244" s="180">
        <f t="shared" si="50"/>
      </c>
    </row>
    <row r="245" spans="1:8" ht="15">
      <c r="A245" s="189">
        <f>IF(B245="","","Jun")</f>
      </c>
      <c r="B245">
        <f t="shared" si="54"/>
      </c>
      <c r="C245" s="180">
        <f t="shared" si="59"/>
      </c>
      <c r="D245" s="180">
        <f t="shared" si="55"/>
      </c>
      <c r="E245" s="180">
        <f t="shared" si="49"/>
      </c>
      <c r="F245" s="180">
        <f t="shared" si="60"/>
      </c>
      <c r="G245" s="180">
        <f t="shared" si="61"/>
      </c>
      <c r="H245" s="180">
        <f t="shared" si="50"/>
      </c>
    </row>
    <row r="246" spans="1:8" ht="15">
      <c r="A246" s="189">
        <f>IF(B246="","","Jul")</f>
      </c>
      <c r="B246">
        <f t="shared" si="54"/>
      </c>
      <c r="C246" s="180">
        <f t="shared" si="59"/>
      </c>
      <c r="D246" s="180">
        <f t="shared" si="55"/>
      </c>
      <c r="E246" s="180">
        <f t="shared" si="49"/>
      </c>
      <c r="F246" s="180">
        <f t="shared" si="60"/>
      </c>
      <c r="G246" s="180">
        <f t="shared" si="61"/>
      </c>
      <c r="H246" s="180">
        <f t="shared" si="50"/>
      </c>
    </row>
    <row r="247" spans="1:9" ht="15">
      <c r="A247" s="189">
        <f>IF(B247="","","Aug")</f>
      </c>
      <c r="B247">
        <f t="shared" si="54"/>
      </c>
      <c r="C247" s="180">
        <f t="shared" si="59"/>
      </c>
      <c r="D247" s="180">
        <f t="shared" si="55"/>
      </c>
      <c r="E247" s="180">
        <f t="shared" si="49"/>
      </c>
      <c r="F247" s="180">
        <f t="shared" si="60"/>
      </c>
      <c r="G247" s="180">
        <f t="shared" si="61"/>
      </c>
      <c r="H247" s="180">
        <f t="shared" si="50"/>
      </c>
      <c r="I247" s="183">
        <f>IF(B240="","","Principal")</f>
      </c>
    </row>
    <row r="248" spans="1:9" ht="15">
      <c r="A248" s="189">
        <f>IF(B248="","","Sep")</f>
      </c>
      <c r="B248">
        <f t="shared" si="54"/>
      </c>
      <c r="C248" s="180">
        <f t="shared" si="59"/>
      </c>
      <c r="D248" s="180">
        <f t="shared" si="55"/>
      </c>
      <c r="E248" s="180">
        <f t="shared" si="49"/>
      </c>
      <c r="F248" s="180">
        <f t="shared" si="60"/>
      </c>
      <c r="G248" s="180">
        <f t="shared" si="61"/>
      </c>
      <c r="H248" s="180">
        <f t="shared" si="50"/>
      </c>
      <c r="I248" s="184">
        <f>IF(B240="","",SUM(E240:E251))</f>
      </c>
    </row>
    <row r="249" spans="1:9" ht="15">
      <c r="A249" s="189">
        <f>IF(B249="","","Oct")</f>
      </c>
      <c r="B249">
        <f t="shared" si="54"/>
      </c>
      <c r="C249" s="180">
        <f t="shared" si="59"/>
      </c>
      <c r="D249" s="180">
        <f t="shared" si="55"/>
      </c>
      <c r="E249" s="180">
        <f t="shared" si="49"/>
      </c>
      <c r="F249" s="180">
        <f t="shared" si="60"/>
      </c>
      <c r="G249" s="180">
        <f t="shared" si="61"/>
      </c>
      <c r="H249" s="180">
        <f t="shared" si="50"/>
      </c>
      <c r="I249" s="183">
        <f>IF(B240="","","Interest")</f>
      </c>
    </row>
    <row r="250" spans="1:9" ht="15">
      <c r="A250" s="189">
        <f>IF(B250="","","Nov")</f>
      </c>
      <c r="B250">
        <f t="shared" si="54"/>
      </c>
      <c r="C250" s="180">
        <f t="shared" si="59"/>
      </c>
      <c r="D250" s="180">
        <f t="shared" si="55"/>
      </c>
      <c r="E250" s="180">
        <f t="shared" si="49"/>
      </c>
      <c r="F250" s="180">
        <f t="shared" si="60"/>
      </c>
      <c r="G250" s="180">
        <f t="shared" si="61"/>
      </c>
      <c r="H250" s="180">
        <f t="shared" si="50"/>
      </c>
      <c r="I250" s="184">
        <f>IF(B240="","",SUM(D240:D251))</f>
      </c>
    </row>
    <row r="251" spans="1:9" ht="15">
      <c r="A251" s="190">
        <f>IF(B251="","","Dec")</f>
      </c>
      <c r="B251" s="185">
        <f t="shared" si="54"/>
      </c>
      <c r="C251" s="186">
        <f t="shared" si="59"/>
      </c>
      <c r="D251" s="186">
        <f t="shared" si="55"/>
      </c>
      <c r="E251" s="186">
        <f t="shared" si="49"/>
      </c>
      <c r="F251" s="186">
        <f t="shared" si="60"/>
      </c>
      <c r="G251" s="186">
        <f t="shared" si="61"/>
      </c>
      <c r="H251" s="186">
        <f t="shared" si="50"/>
      </c>
      <c r="I251" s="185">
        <f>IF(B240="","","End of year 20")</f>
      </c>
    </row>
    <row r="252" spans="1:8" ht="15">
      <c r="A252" s="189">
        <f>IF(B252="","","Jan")</f>
      </c>
      <c r="B252">
        <f t="shared" si="54"/>
      </c>
      <c r="C252" s="180">
        <f t="shared" si="59"/>
      </c>
      <c r="D252" s="180">
        <f t="shared" si="55"/>
      </c>
      <c r="E252" s="180">
        <f t="shared" si="49"/>
      </c>
      <c r="F252" s="180">
        <f t="shared" si="60"/>
      </c>
      <c r="G252" s="180">
        <f t="shared" si="61"/>
      </c>
      <c r="H252" s="180">
        <f t="shared" si="50"/>
      </c>
    </row>
    <row r="253" spans="1:8" ht="15">
      <c r="A253" s="189">
        <f>IF(B253="","","Feb")</f>
      </c>
      <c r="B253">
        <f t="shared" si="54"/>
      </c>
      <c r="C253" s="180">
        <f t="shared" si="59"/>
      </c>
      <c r="D253" s="180">
        <f t="shared" si="55"/>
      </c>
      <c r="E253" s="180">
        <f t="shared" si="49"/>
      </c>
      <c r="F253" s="180">
        <f t="shared" si="60"/>
      </c>
      <c r="G253" s="180">
        <f t="shared" si="61"/>
      </c>
      <c r="H253" s="180">
        <f t="shared" si="50"/>
      </c>
    </row>
    <row r="254" spans="1:8" ht="15">
      <c r="A254" s="189">
        <f>IF(B254="","","Mar")</f>
      </c>
      <c r="B254">
        <f t="shared" si="54"/>
      </c>
      <c r="C254" s="180">
        <f aca="true" t="shared" si="62" ref="C254:C269">IF(B254="","",F253)</f>
      </c>
      <c r="D254" s="180">
        <f t="shared" si="55"/>
      </c>
      <c r="E254" s="180">
        <f t="shared" si="49"/>
      </c>
      <c r="F254" s="180">
        <f aca="true" t="shared" si="63" ref="F254:F269">IF(B254="","",C254-E254)</f>
      </c>
      <c r="G254" s="180">
        <f aca="true" t="shared" si="64" ref="G254:G269">IF(B254="","",G253+E254)</f>
      </c>
      <c r="H254" s="180">
        <f t="shared" si="50"/>
      </c>
    </row>
    <row r="255" spans="1:8" ht="15">
      <c r="A255" s="189">
        <f>IF(B255="","","Apr")</f>
      </c>
      <c r="B255">
        <f t="shared" si="54"/>
      </c>
      <c r="C255" s="180">
        <f t="shared" si="62"/>
      </c>
      <c r="D255" s="180">
        <f t="shared" si="55"/>
      </c>
      <c r="E255" s="180">
        <f t="shared" si="49"/>
      </c>
      <c r="F255" s="180">
        <f t="shared" si="63"/>
      </c>
      <c r="G255" s="180">
        <f t="shared" si="64"/>
      </c>
      <c r="H255" s="180">
        <f t="shared" si="50"/>
      </c>
    </row>
    <row r="256" spans="1:8" ht="15">
      <c r="A256" s="189">
        <f>IF(B256="","","May")</f>
      </c>
      <c r="B256">
        <f t="shared" si="54"/>
      </c>
      <c r="C256" s="180">
        <f t="shared" si="62"/>
      </c>
      <c r="D256" s="180">
        <f t="shared" si="55"/>
      </c>
      <c r="E256" s="180">
        <f t="shared" si="49"/>
      </c>
      <c r="F256" s="180">
        <f t="shared" si="63"/>
      </c>
      <c r="G256" s="180">
        <f t="shared" si="64"/>
      </c>
      <c r="H256" s="180">
        <f t="shared" si="50"/>
      </c>
    </row>
    <row r="257" spans="1:8" ht="15">
      <c r="A257" s="189">
        <f>IF(B257="","","Jun")</f>
      </c>
      <c r="B257">
        <f t="shared" si="54"/>
      </c>
      <c r="C257" s="180">
        <f t="shared" si="62"/>
      </c>
      <c r="D257" s="180">
        <f t="shared" si="55"/>
      </c>
      <c r="E257" s="180">
        <f t="shared" si="49"/>
      </c>
      <c r="F257" s="180">
        <f t="shared" si="63"/>
      </c>
      <c r="G257" s="180">
        <f t="shared" si="64"/>
      </c>
      <c r="H257" s="180">
        <f t="shared" si="50"/>
      </c>
    </row>
    <row r="258" spans="1:8" ht="15">
      <c r="A258" s="189">
        <f>IF(B258="","","Jul")</f>
      </c>
      <c r="B258">
        <f t="shared" si="54"/>
      </c>
      <c r="C258" s="180">
        <f t="shared" si="62"/>
      </c>
      <c r="D258" s="180">
        <f t="shared" si="55"/>
      </c>
      <c r="E258" s="180">
        <f t="shared" si="49"/>
      </c>
      <c r="F258" s="180">
        <f t="shared" si="63"/>
      </c>
      <c r="G258" s="180">
        <f t="shared" si="64"/>
      </c>
      <c r="H258" s="180">
        <f t="shared" si="50"/>
      </c>
    </row>
    <row r="259" spans="1:9" ht="15">
      <c r="A259" s="189">
        <f>IF(B259="","","Aug")</f>
      </c>
      <c r="B259">
        <f t="shared" si="54"/>
      </c>
      <c r="C259" s="180">
        <f t="shared" si="62"/>
      </c>
      <c r="D259" s="180">
        <f t="shared" si="55"/>
      </c>
      <c r="E259" s="180">
        <f t="shared" si="49"/>
      </c>
      <c r="F259" s="180">
        <f t="shared" si="63"/>
      </c>
      <c r="G259" s="180">
        <f t="shared" si="64"/>
      </c>
      <c r="H259" s="180">
        <f t="shared" si="50"/>
      </c>
      <c r="I259" s="183">
        <f>IF(B252="","","Principal")</f>
      </c>
    </row>
    <row r="260" spans="1:9" ht="15">
      <c r="A260" s="189">
        <f>IF(B260="","","Sep")</f>
      </c>
      <c r="B260">
        <f t="shared" si="54"/>
      </c>
      <c r="C260" s="180">
        <f t="shared" si="62"/>
      </c>
      <c r="D260" s="180">
        <f t="shared" si="55"/>
      </c>
      <c r="E260" s="180">
        <f t="shared" si="49"/>
      </c>
      <c r="F260" s="180">
        <f t="shared" si="63"/>
      </c>
      <c r="G260" s="180">
        <f t="shared" si="64"/>
      </c>
      <c r="H260" s="180">
        <f t="shared" si="50"/>
      </c>
      <c r="I260" s="184">
        <f>IF(B252="","",SUM(E252:E263))</f>
      </c>
    </row>
    <row r="261" spans="1:9" ht="15">
      <c r="A261" s="189">
        <f>IF(B261="","","Oct")</f>
      </c>
      <c r="B261">
        <f t="shared" si="54"/>
      </c>
      <c r="C261" s="180">
        <f t="shared" si="62"/>
      </c>
      <c r="D261" s="180">
        <f t="shared" si="55"/>
      </c>
      <c r="E261" s="180">
        <f t="shared" si="49"/>
      </c>
      <c r="F261" s="180">
        <f t="shared" si="63"/>
      </c>
      <c r="G261" s="180">
        <f t="shared" si="64"/>
      </c>
      <c r="H261" s="180">
        <f t="shared" si="50"/>
      </c>
      <c r="I261" s="183">
        <f>IF(B252="","","Interest")</f>
      </c>
    </row>
    <row r="262" spans="1:9" ht="15">
      <c r="A262" s="189">
        <f>IF(B262="","","Nov")</f>
      </c>
      <c r="B262">
        <f t="shared" si="54"/>
      </c>
      <c r="C262" s="180">
        <f t="shared" si="62"/>
      </c>
      <c r="D262" s="180">
        <f t="shared" si="55"/>
      </c>
      <c r="E262" s="180">
        <f t="shared" si="49"/>
      </c>
      <c r="F262" s="180">
        <f t="shared" si="63"/>
      </c>
      <c r="G262" s="180">
        <f t="shared" si="64"/>
      </c>
      <c r="H262" s="180">
        <f t="shared" si="50"/>
      </c>
      <c r="I262" s="184">
        <f>IF(B252="","",SUM(D252:D263))</f>
      </c>
    </row>
    <row r="263" spans="1:9" ht="15">
      <c r="A263" s="190">
        <f>IF(B263="","","Dec")</f>
      </c>
      <c r="B263" s="185">
        <f t="shared" si="54"/>
      </c>
      <c r="C263" s="186">
        <f t="shared" si="62"/>
      </c>
      <c r="D263" s="186">
        <f t="shared" si="55"/>
      </c>
      <c r="E263" s="186">
        <f t="shared" si="49"/>
      </c>
      <c r="F263" s="186">
        <f t="shared" si="63"/>
      </c>
      <c r="G263" s="186">
        <f t="shared" si="64"/>
      </c>
      <c r="H263" s="186">
        <f t="shared" si="50"/>
      </c>
      <c r="I263" s="185">
        <f>IF(B252="","","End of year 21")</f>
      </c>
    </row>
    <row r="264" spans="1:8" ht="15">
      <c r="A264" s="189">
        <f>IF(B264="","","Jan")</f>
      </c>
      <c r="B264">
        <f t="shared" si="54"/>
      </c>
      <c r="C264" s="180">
        <f t="shared" si="62"/>
      </c>
      <c r="D264" s="180">
        <f t="shared" si="55"/>
      </c>
      <c r="E264" s="180">
        <f t="shared" si="49"/>
      </c>
      <c r="F264" s="180">
        <f t="shared" si="63"/>
      </c>
      <c r="G264" s="180">
        <f t="shared" si="64"/>
      </c>
      <c r="H264" s="180">
        <f t="shared" si="50"/>
      </c>
    </row>
    <row r="265" spans="1:8" ht="15">
      <c r="A265" s="189">
        <f>IF(B265="","","Feb")</f>
      </c>
      <c r="B265">
        <f t="shared" si="54"/>
      </c>
      <c r="C265" s="180">
        <f t="shared" si="62"/>
      </c>
      <c r="D265" s="180">
        <f t="shared" si="55"/>
      </c>
      <c r="E265" s="180">
        <f t="shared" si="49"/>
      </c>
      <c r="F265" s="180">
        <f t="shared" si="63"/>
      </c>
      <c r="G265" s="180">
        <f t="shared" si="64"/>
      </c>
      <c r="H265" s="180">
        <f t="shared" si="50"/>
      </c>
    </row>
    <row r="266" spans="1:8" ht="15">
      <c r="A266" s="189">
        <f>IF(B266="","","Mar")</f>
      </c>
      <c r="B266">
        <f t="shared" si="54"/>
      </c>
      <c r="C266" s="180">
        <f t="shared" si="62"/>
      </c>
      <c r="D266" s="180">
        <f t="shared" si="55"/>
      </c>
      <c r="E266" s="180">
        <f t="shared" si="49"/>
      </c>
      <c r="F266" s="180">
        <f t="shared" si="63"/>
      </c>
      <c r="G266" s="180">
        <f t="shared" si="64"/>
      </c>
      <c r="H266" s="180">
        <f t="shared" si="50"/>
      </c>
    </row>
    <row r="267" spans="1:8" ht="15">
      <c r="A267" s="189">
        <f>IF(B267="","","Apr")</f>
      </c>
      <c r="B267">
        <f t="shared" si="54"/>
      </c>
      <c r="C267" s="180">
        <f t="shared" si="62"/>
      </c>
      <c r="D267" s="180">
        <f t="shared" si="55"/>
      </c>
      <c r="E267" s="180">
        <f t="shared" si="49"/>
      </c>
      <c r="F267" s="180">
        <f t="shared" si="63"/>
      </c>
      <c r="G267" s="180">
        <f t="shared" si="64"/>
      </c>
      <c r="H267" s="180">
        <f t="shared" si="50"/>
      </c>
    </row>
    <row r="268" spans="1:8" ht="15">
      <c r="A268" s="189">
        <f>IF(B268="","","May")</f>
      </c>
      <c r="B268">
        <f t="shared" si="54"/>
      </c>
      <c r="C268" s="180">
        <f t="shared" si="62"/>
      </c>
      <c r="D268" s="180">
        <f t="shared" si="55"/>
      </c>
      <c r="E268" s="180">
        <f t="shared" si="49"/>
      </c>
      <c r="F268" s="180">
        <f t="shared" si="63"/>
      </c>
      <c r="G268" s="180">
        <f t="shared" si="64"/>
      </c>
      <c r="H268" s="180">
        <f t="shared" si="50"/>
      </c>
    </row>
    <row r="269" spans="1:8" ht="15">
      <c r="A269" s="189">
        <f>IF(B269="","","Jun")</f>
      </c>
      <c r="B269">
        <f t="shared" si="54"/>
      </c>
      <c r="C269" s="180">
        <f t="shared" si="62"/>
      </c>
      <c r="D269" s="180">
        <f t="shared" si="55"/>
      </c>
      <c r="E269" s="180">
        <f aca="true" t="shared" si="65" ref="E269:E332">IF(B269="","",IF(C269+D269&lt;($G$3+$C$7),(C269+D269)-D269,($G$3+$C$7)-D269))</f>
      </c>
      <c r="F269" s="180">
        <f t="shared" si="63"/>
      </c>
      <c r="G269" s="180">
        <f t="shared" si="64"/>
      </c>
      <c r="H269" s="180">
        <f aca="true" t="shared" si="66" ref="H269:H332">IF(B269="","",H268+D269)</f>
      </c>
    </row>
    <row r="270" spans="1:8" ht="15">
      <c r="A270" s="189">
        <f>IF(B270="","","Jul")</f>
      </c>
      <c r="B270">
        <f t="shared" si="54"/>
      </c>
      <c r="C270" s="180">
        <f aca="true" t="shared" si="67" ref="C270:C285">IF(B270="","",F269)</f>
      </c>
      <c r="D270" s="180">
        <f t="shared" si="55"/>
      </c>
      <c r="E270" s="180">
        <f t="shared" si="65"/>
      </c>
      <c r="F270" s="180">
        <f aca="true" t="shared" si="68" ref="F270:F285">IF(B270="","",C270-E270)</f>
      </c>
      <c r="G270" s="180">
        <f aca="true" t="shared" si="69" ref="G270:G285">IF(B270="","",G269+E270)</f>
      </c>
      <c r="H270" s="180">
        <f t="shared" si="66"/>
      </c>
    </row>
    <row r="271" spans="1:9" ht="15">
      <c r="A271" s="189">
        <f>IF(B271="","","Aug")</f>
      </c>
      <c r="B271">
        <f t="shared" si="54"/>
      </c>
      <c r="C271" s="180">
        <f t="shared" si="67"/>
      </c>
      <c r="D271" s="180">
        <f t="shared" si="55"/>
      </c>
      <c r="E271" s="180">
        <f t="shared" si="65"/>
      </c>
      <c r="F271" s="180">
        <f t="shared" si="68"/>
      </c>
      <c r="G271" s="180">
        <f t="shared" si="69"/>
      </c>
      <c r="H271" s="180">
        <f t="shared" si="66"/>
      </c>
      <c r="I271" s="183">
        <f>IF(B264="","","Principal")</f>
      </c>
    </row>
    <row r="272" spans="1:9" ht="15">
      <c r="A272" s="189">
        <f>IF(B272="","","Sep")</f>
      </c>
      <c r="B272">
        <f t="shared" si="54"/>
      </c>
      <c r="C272" s="180">
        <f t="shared" si="67"/>
      </c>
      <c r="D272" s="180">
        <f t="shared" si="55"/>
      </c>
      <c r="E272" s="180">
        <f t="shared" si="65"/>
      </c>
      <c r="F272" s="180">
        <f t="shared" si="68"/>
      </c>
      <c r="G272" s="180">
        <f t="shared" si="69"/>
      </c>
      <c r="H272" s="180">
        <f t="shared" si="66"/>
      </c>
      <c r="I272" s="184">
        <f>IF(B264="","",SUM(E264:E275))</f>
      </c>
    </row>
    <row r="273" spans="1:9" ht="15">
      <c r="A273" s="189">
        <f>IF(B273="","","Oct")</f>
      </c>
      <c r="B273">
        <f t="shared" si="54"/>
      </c>
      <c r="C273" s="180">
        <f t="shared" si="67"/>
      </c>
      <c r="D273" s="180">
        <f t="shared" si="55"/>
      </c>
      <c r="E273" s="180">
        <f t="shared" si="65"/>
      </c>
      <c r="F273" s="180">
        <f t="shared" si="68"/>
      </c>
      <c r="G273" s="180">
        <f t="shared" si="69"/>
      </c>
      <c r="H273" s="180">
        <f t="shared" si="66"/>
      </c>
      <c r="I273" s="183">
        <f>IF(B264="","","Interest")</f>
      </c>
    </row>
    <row r="274" spans="1:9" ht="15">
      <c r="A274" s="189">
        <f>IF(B274="","","Nov")</f>
      </c>
      <c r="B274">
        <f t="shared" si="54"/>
      </c>
      <c r="C274" s="180">
        <f t="shared" si="67"/>
      </c>
      <c r="D274" s="180">
        <f t="shared" si="55"/>
      </c>
      <c r="E274" s="180">
        <f t="shared" si="65"/>
      </c>
      <c r="F274" s="180">
        <f t="shared" si="68"/>
      </c>
      <c r="G274" s="180">
        <f t="shared" si="69"/>
      </c>
      <c r="H274" s="180">
        <f t="shared" si="66"/>
      </c>
      <c r="I274" s="184">
        <f>IF(B264="","",SUM(D264:D275))</f>
      </c>
    </row>
    <row r="275" spans="1:9" ht="15">
      <c r="A275" s="190">
        <f>IF(B275="","","Dec")</f>
      </c>
      <c r="B275" s="185">
        <f t="shared" si="54"/>
      </c>
      <c r="C275" s="186">
        <f t="shared" si="67"/>
      </c>
      <c r="D275" s="186">
        <f t="shared" si="55"/>
      </c>
      <c r="E275" s="186">
        <f t="shared" si="65"/>
      </c>
      <c r="F275" s="186">
        <f t="shared" si="68"/>
      </c>
      <c r="G275" s="186">
        <f t="shared" si="69"/>
      </c>
      <c r="H275" s="186">
        <f t="shared" si="66"/>
      </c>
      <c r="I275" s="185">
        <f>IF(B264="","","End of year 22")</f>
      </c>
    </row>
    <row r="276" spans="1:8" ht="15">
      <c r="A276" s="189">
        <f>IF(B276="","","Jan")</f>
      </c>
      <c r="B276">
        <f t="shared" si="54"/>
      </c>
      <c r="C276" s="180">
        <f t="shared" si="67"/>
      </c>
      <c r="D276" s="180">
        <f t="shared" si="55"/>
      </c>
      <c r="E276" s="180">
        <f t="shared" si="65"/>
      </c>
      <c r="F276" s="180">
        <f t="shared" si="68"/>
      </c>
      <c r="G276" s="180">
        <f t="shared" si="69"/>
      </c>
      <c r="H276" s="180">
        <f t="shared" si="66"/>
      </c>
    </row>
    <row r="277" spans="1:8" ht="15">
      <c r="A277" s="189">
        <f>IF(B277="","","Feb")</f>
      </c>
      <c r="B277">
        <f t="shared" si="54"/>
      </c>
      <c r="C277" s="180">
        <f t="shared" si="67"/>
      </c>
      <c r="D277" s="180">
        <f t="shared" si="55"/>
      </c>
      <c r="E277" s="180">
        <f t="shared" si="65"/>
      </c>
      <c r="F277" s="180">
        <f t="shared" si="68"/>
      </c>
      <c r="G277" s="180">
        <f t="shared" si="69"/>
      </c>
      <c r="H277" s="180">
        <f t="shared" si="66"/>
      </c>
    </row>
    <row r="278" spans="1:8" ht="15">
      <c r="A278" s="189">
        <f>IF(B278="","","Mar")</f>
      </c>
      <c r="B278">
        <f t="shared" si="54"/>
      </c>
      <c r="C278" s="180">
        <f t="shared" si="67"/>
      </c>
      <c r="D278" s="180">
        <f t="shared" si="55"/>
      </c>
      <c r="E278" s="180">
        <f t="shared" si="65"/>
      </c>
      <c r="F278" s="180">
        <f t="shared" si="68"/>
      </c>
      <c r="G278" s="180">
        <f t="shared" si="69"/>
      </c>
      <c r="H278" s="180">
        <f t="shared" si="66"/>
      </c>
    </row>
    <row r="279" spans="1:8" ht="15">
      <c r="A279" s="189">
        <f>IF(B279="","","Apr")</f>
      </c>
      <c r="B279">
        <f t="shared" si="54"/>
      </c>
      <c r="C279" s="180">
        <f t="shared" si="67"/>
      </c>
      <c r="D279" s="180">
        <f t="shared" si="55"/>
      </c>
      <c r="E279" s="180">
        <f t="shared" si="65"/>
      </c>
      <c r="F279" s="180">
        <f t="shared" si="68"/>
      </c>
      <c r="G279" s="180">
        <f t="shared" si="69"/>
      </c>
      <c r="H279" s="180">
        <f t="shared" si="66"/>
      </c>
    </row>
    <row r="280" spans="1:8" ht="15">
      <c r="A280" s="189">
        <f>IF(B280="","","May")</f>
      </c>
      <c r="B280">
        <f t="shared" si="54"/>
      </c>
      <c r="C280" s="180">
        <f t="shared" si="67"/>
      </c>
      <c r="D280" s="180">
        <f t="shared" si="55"/>
      </c>
      <c r="E280" s="180">
        <f t="shared" si="65"/>
      </c>
      <c r="F280" s="180">
        <f t="shared" si="68"/>
      </c>
      <c r="G280" s="180">
        <f t="shared" si="69"/>
      </c>
      <c r="H280" s="180">
        <f t="shared" si="66"/>
      </c>
    </row>
    <row r="281" spans="1:8" ht="15">
      <c r="A281" s="189">
        <f>IF(B281="","","Jun")</f>
      </c>
      <c r="B281">
        <f aca="true" t="shared" si="70" ref="B281:B344">IF(B280=ABS($C$5),"",IF(B280="","",IF(G280&gt;=$C$3,"",B280+1)))</f>
      </c>
      <c r="C281" s="180">
        <f t="shared" si="67"/>
      </c>
      <c r="D281" s="180">
        <f t="shared" si="55"/>
      </c>
      <c r="E281" s="180">
        <f t="shared" si="65"/>
      </c>
      <c r="F281" s="180">
        <f t="shared" si="68"/>
      </c>
      <c r="G281" s="180">
        <f t="shared" si="69"/>
      </c>
      <c r="H281" s="180">
        <f t="shared" si="66"/>
      </c>
    </row>
    <row r="282" spans="1:8" ht="15">
      <c r="A282" s="189">
        <f>IF(B282="","","Jul")</f>
      </c>
      <c r="B282">
        <f t="shared" si="70"/>
      </c>
      <c r="C282" s="180">
        <f t="shared" si="67"/>
      </c>
      <c r="D282" s="180">
        <f aca="true" t="shared" si="71" ref="D282:D345">IF(B282="","",C282*(($C$4/100)/12))</f>
      </c>
      <c r="E282" s="180">
        <f t="shared" si="65"/>
      </c>
      <c r="F282" s="180">
        <f t="shared" si="68"/>
      </c>
      <c r="G282" s="180">
        <f t="shared" si="69"/>
      </c>
      <c r="H282" s="180">
        <f t="shared" si="66"/>
      </c>
    </row>
    <row r="283" spans="1:9" ht="15">
      <c r="A283" s="189">
        <f>IF(B283="","","Aug")</f>
      </c>
      <c r="B283">
        <f t="shared" si="70"/>
      </c>
      <c r="C283" s="180">
        <f t="shared" si="67"/>
      </c>
      <c r="D283" s="180">
        <f t="shared" si="71"/>
      </c>
      <c r="E283" s="180">
        <f t="shared" si="65"/>
      </c>
      <c r="F283" s="180">
        <f t="shared" si="68"/>
      </c>
      <c r="G283" s="180">
        <f t="shared" si="69"/>
      </c>
      <c r="H283" s="180">
        <f t="shared" si="66"/>
      </c>
      <c r="I283" s="183">
        <f>IF(B276="","","Principal")</f>
      </c>
    </row>
    <row r="284" spans="1:9" ht="15">
      <c r="A284" s="189">
        <f>IF(B284="","","Sep")</f>
      </c>
      <c r="B284">
        <f t="shared" si="70"/>
      </c>
      <c r="C284" s="180">
        <f t="shared" si="67"/>
      </c>
      <c r="D284" s="180">
        <f t="shared" si="71"/>
      </c>
      <c r="E284" s="180">
        <f t="shared" si="65"/>
      </c>
      <c r="F284" s="180">
        <f t="shared" si="68"/>
      </c>
      <c r="G284" s="180">
        <f t="shared" si="69"/>
      </c>
      <c r="H284" s="180">
        <f t="shared" si="66"/>
      </c>
      <c r="I284" s="184">
        <f>IF(B276="","",SUM(E276:E287))</f>
      </c>
    </row>
    <row r="285" spans="1:9" ht="15">
      <c r="A285" s="189">
        <f>IF(B285="","","Oct")</f>
      </c>
      <c r="B285">
        <f t="shared" si="70"/>
      </c>
      <c r="C285" s="180">
        <f t="shared" si="67"/>
      </c>
      <c r="D285" s="180">
        <f t="shared" si="71"/>
      </c>
      <c r="E285" s="180">
        <f t="shared" si="65"/>
      </c>
      <c r="F285" s="180">
        <f t="shared" si="68"/>
      </c>
      <c r="G285" s="180">
        <f t="shared" si="69"/>
      </c>
      <c r="H285" s="180">
        <f t="shared" si="66"/>
      </c>
      <c r="I285" s="183">
        <f>IF(B276="","","Interest")</f>
      </c>
    </row>
    <row r="286" spans="1:9" ht="15">
      <c r="A286" s="189">
        <f>IF(B286="","","Nov")</f>
      </c>
      <c r="B286">
        <f t="shared" si="70"/>
      </c>
      <c r="C286" s="180">
        <f aca="true" t="shared" si="72" ref="C286:C301">IF(B286="","",F285)</f>
      </c>
      <c r="D286" s="180">
        <f t="shared" si="71"/>
      </c>
      <c r="E286" s="180">
        <f t="shared" si="65"/>
      </c>
      <c r="F286" s="180">
        <f aca="true" t="shared" si="73" ref="F286:F301">IF(B286="","",C286-E286)</f>
      </c>
      <c r="G286" s="180">
        <f aca="true" t="shared" si="74" ref="G286:G301">IF(B286="","",G285+E286)</f>
      </c>
      <c r="H286" s="180">
        <f t="shared" si="66"/>
      </c>
      <c r="I286" s="184">
        <f>IF(B276="","",SUM(D276:D287))</f>
      </c>
    </row>
    <row r="287" spans="1:9" ht="15">
      <c r="A287" s="190">
        <f>IF(B287="","","Dec")</f>
      </c>
      <c r="B287" s="185">
        <f t="shared" si="70"/>
      </c>
      <c r="C287" s="186">
        <f t="shared" si="72"/>
      </c>
      <c r="D287" s="186">
        <f t="shared" si="71"/>
      </c>
      <c r="E287" s="186">
        <f t="shared" si="65"/>
      </c>
      <c r="F287" s="186">
        <f t="shared" si="73"/>
      </c>
      <c r="G287" s="186">
        <f t="shared" si="74"/>
      </c>
      <c r="H287" s="186">
        <f t="shared" si="66"/>
      </c>
      <c r="I287" s="185">
        <f>IF(B276="","","End of year 23")</f>
      </c>
    </row>
    <row r="288" spans="1:8" ht="15">
      <c r="A288" s="189">
        <f>IF(B288="","","Jan")</f>
      </c>
      <c r="B288">
        <f t="shared" si="70"/>
      </c>
      <c r="C288" s="180">
        <f t="shared" si="72"/>
      </c>
      <c r="D288" s="180">
        <f t="shared" si="71"/>
      </c>
      <c r="E288" s="180">
        <f t="shared" si="65"/>
      </c>
      <c r="F288" s="180">
        <f t="shared" si="73"/>
      </c>
      <c r="G288" s="180">
        <f t="shared" si="74"/>
      </c>
      <c r="H288" s="180">
        <f t="shared" si="66"/>
      </c>
    </row>
    <row r="289" spans="1:8" ht="15">
      <c r="A289" s="189">
        <f>IF(B289="","","Feb")</f>
      </c>
      <c r="B289">
        <f t="shared" si="70"/>
      </c>
      <c r="C289" s="180">
        <f t="shared" si="72"/>
      </c>
      <c r="D289" s="180">
        <f t="shared" si="71"/>
      </c>
      <c r="E289" s="180">
        <f t="shared" si="65"/>
      </c>
      <c r="F289" s="180">
        <f t="shared" si="73"/>
      </c>
      <c r="G289" s="180">
        <f t="shared" si="74"/>
      </c>
      <c r="H289" s="180">
        <f t="shared" si="66"/>
      </c>
    </row>
    <row r="290" spans="1:8" ht="15">
      <c r="A290" s="189">
        <f>IF(B290="","","Mar")</f>
      </c>
      <c r="B290">
        <f t="shared" si="70"/>
      </c>
      <c r="C290" s="180">
        <f t="shared" si="72"/>
      </c>
      <c r="D290" s="180">
        <f t="shared" si="71"/>
      </c>
      <c r="E290" s="180">
        <f t="shared" si="65"/>
      </c>
      <c r="F290" s="180">
        <f t="shared" si="73"/>
      </c>
      <c r="G290" s="180">
        <f t="shared" si="74"/>
      </c>
      <c r="H290" s="180">
        <f t="shared" si="66"/>
      </c>
    </row>
    <row r="291" spans="1:8" ht="15">
      <c r="A291" s="189">
        <f>IF(B291="","","Apr")</f>
      </c>
      <c r="B291">
        <f t="shared" si="70"/>
      </c>
      <c r="C291" s="180">
        <f t="shared" si="72"/>
      </c>
      <c r="D291" s="180">
        <f t="shared" si="71"/>
      </c>
      <c r="E291" s="180">
        <f t="shared" si="65"/>
      </c>
      <c r="F291" s="180">
        <f t="shared" si="73"/>
      </c>
      <c r="G291" s="180">
        <f t="shared" si="74"/>
      </c>
      <c r="H291" s="180">
        <f t="shared" si="66"/>
      </c>
    </row>
    <row r="292" spans="1:8" ht="15">
      <c r="A292" s="189">
        <f>IF(B292="","","May")</f>
      </c>
      <c r="B292">
        <f t="shared" si="70"/>
      </c>
      <c r="C292" s="180">
        <f t="shared" si="72"/>
      </c>
      <c r="D292" s="180">
        <f t="shared" si="71"/>
      </c>
      <c r="E292" s="180">
        <f t="shared" si="65"/>
      </c>
      <c r="F292" s="180">
        <f t="shared" si="73"/>
      </c>
      <c r="G292" s="180">
        <f t="shared" si="74"/>
      </c>
      <c r="H292" s="180">
        <f t="shared" si="66"/>
      </c>
    </row>
    <row r="293" spans="1:8" ht="15">
      <c r="A293" s="189">
        <f>IF(B293="","","Jun")</f>
      </c>
      <c r="B293">
        <f t="shared" si="70"/>
      </c>
      <c r="C293" s="180">
        <f t="shared" si="72"/>
      </c>
      <c r="D293" s="180">
        <f t="shared" si="71"/>
      </c>
      <c r="E293" s="180">
        <f t="shared" si="65"/>
      </c>
      <c r="F293" s="180">
        <f t="shared" si="73"/>
      </c>
      <c r="G293" s="180">
        <f t="shared" si="74"/>
      </c>
      <c r="H293" s="180">
        <f t="shared" si="66"/>
      </c>
    </row>
    <row r="294" spans="1:8" ht="15">
      <c r="A294" s="189">
        <f>IF(B294="","","Jul")</f>
      </c>
      <c r="B294">
        <f t="shared" si="70"/>
      </c>
      <c r="C294" s="180">
        <f t="shared" si="72"/>
      </c>
      <c r="D294" s="180">
        <f t="shared" si="71"/>
      </c>
      <c r="E294" s="180">
        <f t="shared" si="65"/>
      </c>
      <c r="F294" s="180">
        <f t="shared" si="73"/>
      </c>
      <c r="G294" s="180">
        <f t="shared" si="74"/>
      </c>
      <c r="H294" s="180">
        <f t="shared" si="66"/>
      </c>
    </row>
    <row r="295" spans="1:9" ht="15">
      <c r="A295" s="189">
        <f>IF(B295="","","Aug")</f>
      </c>
      <c r="B295">
        <f t="shared" si="70"/>
      </c>
      <c r="C295" s="180">
        <f t="shared" si="72"/>
      </c>
      <c r="D295" s="180">
        <f t="shared" si="71"/>
      </c>
      <c r="E295" s="180">
        <f t="shared" si="65"/>
      </c>
      <c r="F295" s="180">
        <f t="shared" si="73"/>
      </c>
      <c r="G295" s="180">
        <f t="shared" si="74"/>
      </c>
      <c r="H295" s="180">
        <f t="shared" si="66"/>
      </c>
      <c r="I295" s="183">
        <f>IF(B288="","","Principal")</f>
      </c>
    </row>
    <row r="296" spans="1:9" ht="15">
      <c r="A296" s="189">
        <f>IF(B296="","","Sep")</f>
      </c>
      <c r="B296">
        <f t="shared" si="70"/>
      </c>
      <c r="C296" s="180">
        <f t="shared" si="72"/>
      </c>
      <c r="D296" s="180">
        <f t="shared" si="71"/>
      </c>
      <c r="E296" s="180">
        <f t="shared" si="65"/>
      </c>
      <c r="F296" s="180">
        <f t="shared" si="73"/>
      </c>
      <c r="G296" s="180">
        <f t="shared" si="74"/>
      </c>
      <c r="H296" s="180">
        <f t="shared" si="66"/>
      </c>
      <c r="I296" s="184">
        <f>IF(B288="","",SUM(E288:E299))</f>
      </c>
    </row>
    <row r="297" spans="1:9" ht="15">
      <c r="A297" s="189">
        <f>IF(B297="","","Oct")</f>
      </c>
      <c r="B297">
        <f t="shared" si="70"/>
      </c>
      <c r="C297" s="180">
        <f t="shared" si="72"/>
      </c>
      <c r="D297" s="180">
        <f t="shared" si="71"/>
      </c>
      <c r="E297" s="180">
        <f t="shared" si="65"/>
      </c>
      <c r="F297" s="180">
        <f t="shared" si="73"/>
      </c>
      <c r="G297" s="180">
        <f t="shared" si="74"/>
      </c>
      <c r="H297" s="180">
        <f t="shared" si="66"/>
      </c>
      <c r="I297" s="183">
        <f>IF(B288="","","Interest")</f>
      </c>
    </row>
    <row r="298" spans="1:9" ht="15">
      <c r="A298" s="189">
        <f>IF(B298="","","Nov")</f>
      </c>
      <c r="B298">
        <f t="shared" si="70"/>
      </c>
      <c r="C298" s="180">
        <f t="shared" si="72"/>
      </c>
      <c r="D298" s="180">
        <f t="shared" si="71"/>
      </c>
      <c r="E298" s="180">
        <f t="shared" si="65"/>
      </c>
      <c r="F298" s="180">
        <f t="shared" si="73"/>
      </c>
      <c r="G298" s="180">
        <f t="shared" si="74"/>
      </c>
      <c r="H298" s="180">
        <f t="shared" si="66"/>
      </c>
      <c r="I298" s="184">
        <f>IF(B288="","",SUM(D288:D299))</f>
      </c>
    </row>
    <row r="299" spans="1:9" ht="15">
      <c r="A299" s="190">
        <f>IF(B299="","","Dec")</f>
      </c>
      <c r="B299" s="185">
        <f t="shared" si="70"/>
      </c>
      <c r="C299" s="186">
        <f t="shared" si="72"/>
      </c>
      <c r="D299" s="186">
        <f t="shared" si="71"/>
      </c>
      <c r="E299" s="186">
        <f t="shared" si="65"/>
      </c>
      <c r="F299" s="186">
        <f t="shared" si="73"/>
      </c>
      <c r="G299" s="186">
        <f t="shared" si="74"/>
      </c>
      <c r="H299" s="186">
        <f t="shared" si="66"/>
      </c>
      <c r="I299" s="185">
        <f>IF(B288="","","End of year 24")</f>
      </c>
    </row>
    <row r="300" spans="1:8" ht="15">
      <c r="A300" s="189">
        <f>IF(B300="","","Jan")</f>
      </c>
      <c r="B300">
        <f t="shared" si="70"/>
      </c>
      <c r="C300" s="180">
        <f t="shared" si="72"/>
      </c>
      <c r="D300" s="180">
        <f t="shared" si="71"/>
      </c>
      <c r="E300" s="180">
        <f t="shared" si="65"/>
      </c>
      <c r="F300" s="180">
        <f t="shared" si="73"/>
      </c>
      <c r="G300" s="180">
        <f t="shared" si="74"/>
      </c>
      <c r="H300" s="180">
        <f t="shared" si="66"/>
      </c>
    </row>
    <row r="301" spans="1:8" ht="15">
      <c r="A301" s="189">
        <f>IF(B301="","","Feb")</f>
      </c>
      <c r="B301">
        <f t="shared" si="70"/>
      </c>
      <c r="C301" s="180">
        <f t="shared" si="72"/>
      </c>
      <c r="D301" s="180">
        <f t="shared" si="71"/>
      </c>
      <c r="E301" s="180">
        <f t="shared" si="65"/>
      </c>
      <c r="F301" s="180">
        <f t="shared" si="73"/>
      </c>
      <c r="G301" s="180">
        <f t="shared" si="74"/>
      </c>
      <c r="H301" s="180">
        <f t="shared" si="66"/>
      </c>
    </row>
    <row r="302" spans="1:8" ht="15">
      <c r="A302" s="189">
        <f>IF(B302="","","Mar")</f>
      </c>
      <c r="B302">
        <f t="shared" si="70"/>
      </c>
      <c r="C302" s="180">
        <f aca="true" t="shared" si="75" ref="C302:C317">IF(B302="","",F301)</f>
      </c>
      <c r="D302" s="180">
        <f t="shared" si="71"/>
      </c>
      <c r="E302" s="180">
        <f t="shared" si="65"/>
      </c>
      <c r="F302" s="180">
        <f aca="true" t="shared" si="76" ref="F302:F317">IF(B302="","",C302-E302)</f>
      </c>
      <c r="G302" s="180">
        <f aca="true" t="shared" si="77" ref="G302:G317">IF(B302="","",G301+E302)</f>
      </c>
      <c r="H302" s="180">
        <f t="shared" si="66"/>
      </c>
    </row>
    <row r="303" spans="1:8" ht="15">
      <c r="A303" s="189">
        <f>IF(B303="","","Apr")</f>
      </c>
      <c r="B303">
        <f t="shared" si="70"/>
      </c>
      <c r="C303" s="180">
        <f t="shared" si="75"/>
      </c>
      <c r="D303" s="180">
        <f t="shared" si="71"/>
      </c>
      <c r="E303" s="180">
        <f t="shared" si="65"/>
      </c>
      <c r="F303" s="180">
        <f t="shared" si="76"/>
      </c>
      <c r="G303" s="180">
        <f t="shared" si="77"/>
      </c>
      <c r="H303" s="180">
        <f t="shared" si="66"/>
      </c>
    </row>
    <row r="304" spans="1:8" ht="15">
      <c r="A304" s="189">
        <f>IF(B304="","","May")</f>
      </c>
      <c r="B304">
        <f t="shared" si="70"/>
      </c>
      <c r="C304" s="180">
        <f t="shared" si="75"/>
      </c>
      <c r="D304" s="180">
        <f t="shared" si="71"/>
      </c>
      <c r="E304" s="180">
        <f t="shared" si="65"/>
      </c>
      <c r="F304" s="180">
        <f t="shared" si="76"/>
      </c>
      <c r="G304" s="180">
        <f t="shared" si="77"/>
      </c>
      <c r="H304" s="180">
        <f t="shared" si="66"/>
      </c>
    </row>
    <row r="305" spans="1:8" ht="15">
      <c r="A305" s="189">
        <f>IF(B305="","","Jun")</f>
      </c>
      <c r="B305">
        <f t="shared" si="70"/>
      </c>
      <c r="C305" s="180">
        <f t="shared" si="75"/>
      </c>
      <c r="D305" s="180">
        <f t="shared" si="71"/>
      </c>
      <c r="E305" s="180">
        <f t="shared" si="65"/>
      </c>
      <c r="F305" s="180">
        <f t="shared" si="76"/>
      </c>
      <c r="G305" s="180">
        <f t="shared" si="77"/>
      </c>
      <c r="H305" s="180">
        <f t="shared" si="66"/>
      </c>
    </row>
    <row r="306" spans="1:8" ht="15">
      <c r="A306" s="189">
        <f>IF(B306="","","Jul")</f>
      </c>
      <c r="B306">
        <f t="shared" si="70"/>
      </c>
      <c r="C306" s="180">
        <f t="shared" si="75"/>
      </c>
      <c r="D306" s="180">
        <f t="shared" si="71"/>
      </c>
      <c r="E306" s="180">
        <f t="shared" si="65"/>
      </c>
      <c r="F306" s="180">
        <f t="shared" si="76"/>
      </c>
      <c r="G306" s="180">
        <f t="shared" si="77"/>
      </c>
      <c r="H306" s="180">
        <f t="shared" si="66"/>
      </c>
    </row>
    <row r="307" spans="1:9" ht="15">
      <c r="A307" s="189">
        <f>IF(B307="","","Aug")</f>
      </c>
      <c r="B307">
        <f t="shared" si="70"/>
      </c>
      <c r="C307" s="180">
        <f t="shared" si="75"/>
      </c>
      <c r="D307" s="180">
        <f t="shared" si="71"/>
      </c>
      <c r="E307" s="180">
        <f t="shared" si="65"/>
      </c>
      <c r="F307" s="180">
        <f t="shared" si="76"/>
      </c>
      <c r="G307" s="180">
        <f t="shared" si="77"/>
      </c>
      <c r="H307" s="180">
        <f t="shared" si="66"/>
      </c>
      <c r="I307" s="183">
        <f>IF(B300="","","Principal")</f>
      </c>
    </row>
    <row r="308" spans="1:9" ht="15">
      <c r="A308" s="189">
        <f>IF(B308="","","Sep")</f>
      </c>
      <c r="B308">
        <f t="shared" si="70"/>
      </c>
      <c r="C308" s="180">
        <f t="shared" si="75"/>
      </c>
      <c r="D308" s="180">
        <f t="shared" si="71"/>
      </c>
      <c r="E308" s="180">
        <f t="shared" si="65"/>
      </c>
      <c r="F308" s="180">
        <f t="shared" si="76"/>
      </c>
      <c r="G308" s="180">
        <f t="shared" si="77"/>
      </c>
      <c r="H308" s="180">
        <f t="shared" si="66"/>
      </c>
      <c r="I308" s="184">
        <f>IF(B300="","",SUM(E300:E311))</f>
      </c>
    </row>
    <row r="309" spans="1:9" ht="15">
      <c r="A309" s="189">
        <f>IF(B309="","","Oct")</f>
      </c>
      <c r="B309">
        <f t="shared" si="70"/>
      </c>
      <c r="C309" s="180">
        <f t="shared" si="75"/>
      </c>
      <c r="D309" s="180">
        <f t="shared" si="71"/>
      </c>
      <c r="E309" s="180">
        <f t="shared" si="65"/>
      </c>
      <c r="F309" s="180">
        <f t="shared" si="76"/>
      </c>
      <c r="G309" s="180">
        <f t="shared" si="77"/>
      </c>
      <c r="H309" s="180">
        <f t="shared" si="66"/>
      </c>
      <c r="I309" s="183">
        <f>IF(B300="","","Interest")</f>
      </c>
    </row>
    <row r="310" spans="1:9" ht="15">
      <c r="A310" s="189">
        <f>IF(B310="","","Nov")</f>
      </c>
      <c r="B310">
        <f t="shared" si="70"/>
      </c>
      <c r="C310" s="180">
        <f t="shared" si="75"/>
      </c>
      <c r="D310" s="180">
        <f t="shared" si="71"/>
      </c>
      <c r="E310" s="180">
        <f t="shared" si="65"/>
      </c>
      <c r="F310" s="180">
        <f t="shared" si="76"/>
      </c>
      <c r="G310" s="180">
        <f t="shared" si="77"/>
      </c>
      <c r="H310" s="180">
        <f t="shared" si="66"/>
      </c>
      <c r="I310" s="184">
        <f>IF(B300="","",SUM(D300:D311))</f>
      </c>
    </row>
    <row r="311" spans="1:9" ht="15">
      <c r="A311" s="190">
        <f>IF(B311="","","Dec")</f>
      </c>
      <c r="B311" s="185">
        <f t="shared" si="70"/>
      </c>
      <c r="C311" s="186">
        <f t="shared" si="75"/>
      </c>
      <c r="D311" s="186">
        <f t="shared" si="71"/>
      </c>
      <c r="E311" s="186">
        <f t="shared" si="65"/>
      </c>
      <c r="F311" s="186">
        <f t="shared" si="76"/>
      </c>
      <c r="G311" s="186">
        <f t="shared" si="77"/>
      </c>
      <c r="H311" s="186">
        <f t="shared" si="66"/>
      </c>
      <c r="I311" s="185">
        <f>IF(B300="","","End of year 25")</f>
      </c>
    </row>
    <row r="312" spans="1:8" ht="15">
      <c r="A312" s="189">
        <f>IF(B312="","","Jan")</f>
      </c>
      <c r="B312">
        <f t="shared" si="70"/>
      </c>
      <c r="C312" s="180">
        <f t="shared" si="75"/>
      </c>
      <c r="D312" s="180">
        <f t="shared" si="71"/>
      </c>
      <c r="E312" s="180">
        <f t="shared" si="65"/>
      </c>
      <c r="F312" s="180">
        <f t="shared" si="76"/>
      </c>
      <c r="G312" s="180">
        <f t="shared" si="77"/>
      </c>
      <c r="H312" s="180">
        <f t="shared" si="66"/>
      </c>
    </row>
    <row r="313" spans="1:8" ht="15">
      <c r="A313" s="189">
        <f>IF(B313="","","Feb")</f>
      </c>
      <c r="B313">
        <f t="shared" si="70"/>
      </c>
      <c r="C313" s="180">
        <f t="shared" si="75"/>
      </c>
      <c r="D313" s="180">
        <f t="shared" si="71"/>
      </c>
      <c r="E313" s="180">
        <f t="shared" si="65"/>
      </c>
      <c r="F313" s="180">
        <f t="shared" si="76"/>
      </c>
      <c r="G313" s="180">
        <f t="shared" si="77"/>
      </c>
      <c r="H313" s="180">
        <f t="shared" si="66"/>
      </c>
    </row>
    <row r="314" spans="1:8" ht="15">
      <c r="A314" s="189">
        <f>IF(B314="","","Mar")</f>
      </c>
      <c r="B314">
        <f t="shared" si="70"/>
      </c>
      <c r="C314" s="180">
        <f t="shared" si="75"/>
      </c>
      <c r="D314" s="180">
        <f t="shared" si="71"/>
      </c>
      <c r="E314" s="180">
        <f t="shared" si="65"/>
      </c>
      <c r="F314" s="180">
        <f t="shared" si="76"/>
      </c>
      <c r="G314" s="180">
        <f t="shared" si="77"/>
      </c>
      <c r="H314" s="180">
        <f t="shared" si="66"/>
      </c>
    </row>
    <row r="315" spans="1:8" ht="15">
      <c r="A315" s="189">
        <f>IF(B315="","","Apr")</f>
      </c>
      <c r="B315">
        <f t="shared" si="70"/>
      </c>
      <c r="C315" s="180">
        <f t="shared" si="75"/>
      </c>
      <c r="D315" s="180">
        <f t="shared" si="71"/>
      </c>
      <c r="E315" s="180">
        <f t="shared" si="65"/>
      </c>
      <c r="F315" s="180">
        <f t="shared" si="76"/>
      </c>
      <c r="G315" s="180">
        <f t="shared" si="77"/>
      </c>
      <c r="H315" s="180">
        <f t="shared" si="66"/>
      </c>
    </row>
    <row r="316" spans="1:8" ht="15">
      <c r="A316" s="189">
        <f>IF(B316="","","May")</f>
      </c>
      <c r="B316">
        <f t="shared" si="70"/>
      </c>
      <c r="C316" s="180">
        <f t="shared" si="75"/>
      </c>
      <c r="D316" s="180">
        <f t="shared" si="71"/>
      </c>
      <c r="E316" s="180">
        <f t="shared" si="65"/>
      </c>
      <c r="F316" s="180">
        <f t="shared" si="76"/>
      </c>
      <c r="G316" s="180">
        <f t="shared" si="77"/>
      </c>
      <c r="H316" s="180">
        <f t="shared" si="66"/>
      </c>
    </row>
    <row r="317" spans="1:8" ht="15">
      <c r="A317" s="189">
        <f>IF(B317="","","Jun")</f>
      </c>
      <c r="B317">
        <f t="shared" si="70"/>
      </c>
      <c r="C317" s="180">
        <f t="shared" si="75"/>
      </c>
      <c r="D317" s="180">
        <f t="shared" si="71"/>
      </c>
      <c r="E317" s="180">
        <f t="shared" si="65"/>
      </c>
      <c r="F317" s="180">
        <f t="shared" si="76"/>
      </c>
      <c r="G317" s="180">
        <f t="shared" si="77"/>
      </c>
      <c r="H317" s="180">
        <f t="shared" si="66"/>
      </c>
    </row>
    <row r="318" spans="1:8" ht="15">
      <c r="A318" s="189">
        <f>IF(B318="","","Jul")</f>
      </c>
      <c r="B318">
        <f t="shared" si="70"/>
      </c>
      <c r="C318" s="180">
        <f aca="true" t="shared" si="78" ref="C318:C333">IF(B318="","",F317)</f>
      </c>
      <c r="D318" s="180">
        <f t="shared" si="71"/>
      </c>
      <c r="E318" s="180">
        <f t="shared" si="65"/>
      </c>
      <c r="F318" s="180">
        <f aca="true" t="shared" si="79" ref="F318:F333">IF(B318="","",C318-E318)</f>
      </c>
      <c r="G318" s="180">
        <f aca="true" t="shared" si="80" ref="G318:G333">IF(B318="","",G317+E318)</f>
      </c>
      <c r="H318" s="180">
        <f t="shared" si="66"/>
      </c>
    </row>
    <row r="319" spans="1:9" ht="15">
      <c r="A319" s="189">
        <f>IF(B319="","","Aug")</f>
      </c>
      <c r="B319">
        <f t="shared" si="70"/>
      </c>
      <c r="C319" s="180">
        <f t="shared" si="78"/>
      </c>
      <c r="D319" s="180">
        <f t="shared" si="71"/>
      </c>
      <c r="E319" s="180">
        <f t="shared" si="65"/>
      </c>
      <c r="F319" s="180">
        <f t="shared" si="79"/>
      </c>
      <c r="G319" s="180">
        <f t="shared" si="80"/>
      </c>
      <c r="H319" s="180">
        <f t="shared" si="66"/>
      </c>
      <c r="I319" s="183">
        <f>IF(B312="","","Principal")</f>
      </c>
    </row>
    <row r="320" spans="1:9" ht="15">
      <c r="A320" s="189">
        <f>IF(B320="","","Sep")</f>
      </c>
      <c r="B320">
        <f t="shared" si="70"/>
      </c>
      <c r="C320" s="180">
        <f t="shared" si="78"/>
      </c>
      <c r="D320" s="180">
        <f t="shared" si="71"/>
      </c>
      <c r="E320" s="180">
        <f t="shared" si="65"/>
      </c>
      <c r="F320" s="180">
        <f t="shared" si="79"/>
      </c>
      <c r="G320" s="180">
        <f t="shared" si="80"/>
      </c>
      <c r="H320" s="180">
        <f t="shared" si="66"/>
      </c>
      <c r="I320" s="184">
        <f>IF(B312="","",SUM(E312:E323))</f>
      </c>
    </row>
    <row r="321" spans="1:9" ht="15">
      <c r="A321" s="189">
        <f>IF(B321="","","Oct")</f>
      </c>
      <c r="B321">
        <f t="shared" si="70"/>
      </c>
      <c r="C321" s="180">
        <f t="shared" si="78"/>
      </c>
      <c r="D321" s="180">
        <f t="shared" si="71"/>
      </c>
      <c r="E321" s="180">
        <f t="shared" si="65"/>
      </c>
      <c r="F321" s="180">
        <f t="shared" si="79"/>
      </c>
      <c r="G321" s="180">
        <f t="shared" si="80"/>
      </c>
      <c r="H321" s="180">
        <f t="shared" si="66"/>
      </c>
      <c r="I321" s="183">
        <f>IF(B312="","","Interest")</f>
      </c>
    </row>
    <row r="322" spans="1:9" ht="15">
      <c r="A322" s="189">
        <f>IF(B322="","","Nov")</f>
      </c>
      <c r="B322">
        <f t="shared" si="70"/>
      </c>
      <c r="C322" s="180">
        <f t="shared" si="78"/>
      </c>
      <c r="D322" s="180">
        <f t="shared" si="71"/>
      </c>
      <c r="E322" s="180">
        <f t="shared" si="65"/>
      </c>
      <c r="F322" s="180">
        <f t="shared" si="79"/>
      </c>
      <c r="G322" s="180">
        <f t="shared" si="80"/>
      </c>
      <c r="H322" s="180">
        <f t="shared" si="66"/>
      </c>
      <c r="I322" s="184">
        <f>IF(B312="","",SUM(D312:D323))</f>
      </c>
    </row>
    <row r="323" spans="1:9" ht="15">
      <c r="A323" s="190">
        <f>IF(B323="","","Dec")</f>
      </c>
      <c r="B323" s="185">
        <f t="shared" si="70"/>
      </c>
      <c r="C323" s="186">
        <f t="shared" si="78"/>
      </c>
      <c r="D323" s="186">
        <f t="shared" si="71"/>
      </c>
      <c r="E323" s="186">
        <f t="shared" si="65"/>
      </c>
      <c r="F323" s="186">
        <f t="shared" si="79"/>
      </c>
      <c r="G323" s="186">
        <f t="shared" si="80"/>
      </c>
      <c r="H323" s="186">
        <f t="shared" si="66"/>
      </c>
      <c r="I323" s="185">
        <f>IF(B312="","","End of year 26")</f>
      </c>
    </row>
    <row r="324" spans="1:8" ht="15">
      <c r="A324" s="189">
        <f>IF(B324="","","Jan")</f>
      </c>
      <c r="B324">
        <f t="shared" si="70"/>
      </c>
      <c r="C324" s="180">
        <f t="shared" si="78"/>
      </c>
      <c r="D324" s="180">
        <f t="shared" si="71"/>
      </c>
      <c r="E324" s="180">
        <f t="shared" si="65"/>
      </c>
      <c r="F324" s="180">
        <f t="shared" si="79"/>
      </c>
      <c r="G324" s="180">
        <f t="shared" si="80"/>
      </c>
      <c r="H324" s="180">
        <f t="shared" si="66"/>
      </c>
    </row>
    <row r="325" spans="1:8" ht="15">
      <c r="A325" s="189">
        <f>IF(B325="","","Feb")</f>
      </c>
      <c r="B325">
        <f t="shared" si="70"/>
      </c>
      <c r="C325" s="180">
        <f t="shared" si="78"/>
      </c>
      <c r="D325" s="180">
        <f t="shared" si="71"/>
      </c>
      <c r="E325" s="180">
        <f t="shared" si="65"/>
      </c>
      <c r="F325" s="180">
        <f t="shared" si="79"/>
      </c>
      <c r="G325" s="180">
        <f t="shared" si="80"/>
      </c>
      <c r="H325" s="180">
        <f t="shared" si="66"/>
      </c>
    </row>
    <row r="326" spans="1:8" ht="15">
      <c r="A326" s="189">
        <f>IF(B326="","","Mar")</f>
      </c>
      <c r="B326">
        <f t="shared" si="70"/>
      </c>
      <c r="C326" s="180">
        <f t="shared" si="78"/>
      </c>
      <c r="D326" s="180">
        <f t="shared" si="71"/>
      </c>
      <c r="E326" s="180">
        <f t="shared" si="65"/>
      </c>
      <c r="F326" s="180">
        <f t="shared" si="79"/>
      </c>
      <c r="G326" s="180">
        <f t="shared" si="80"/>
      </c>
      <c r="H326" s="180">
        <f t="shared" si="66"/>
      </c>
    </row>
    <row r="327" spans="1:8" ht="15">
      <c r="A327" s="189">
        <f>IF(B327="","","Apr")</f>
      </c>
      <c r="B327">
        <f t="shared" si="70"/>
      </c>
      <c r="C327" s="180">
        <f t="shared" si="78"/>
      </c>
      <c r="D327" s="180">
        <f t="shared" si="71"/>
      </c>
      <c r="E327" s="180">
        <f t="shared" si="65"/>
      </c>
      <c r="F327" s="180">
        <f t="shared" si="79"/>
      </c>
      <c r="G327" s="180">
        <f t="shared" si="80"/>
      </c>
      <c r="H327" s="180">
        <f t="shared" si="66"/>
      </c>
    </row>
    <row r="328" spans="1:8" ht="15">
      <c r="A328" s="189">
        <f>IF(B328="","","May")</f>
      </c>
      <c r="B328">
        <f t="shared" si="70"/>
      </c>
      <c r="C328" s="180">
        <f t="shared" si="78"/>
      </c>
      <c r="D328" s="180">
        <f t="shared" si="71"/>
      </c>
      <c r="E328" s="180">
        <f t="shared" si="65"/>
      </c>
      <c r="F328" s="180">
        <f t="shared" si="79"/>
      </c>
      <c r="G328" s="180">
        <f t="shared" si="80"/>
      </c>
      <c r="H328" s="180">
        <f t="shared" si="66"/>
      </c>
    </row>
    <row r="329" spans="1:8" ht="15">
      <c r="A329" s="189">
        <f>IF(B329="","","Jun")</f>
      </c>
      <c r="B329">
        <f t="shared" si="70"/>
      </c>
      <c r="C329" s="180">
        <f t="shared" si="78"/>
      </c>
      <c r="D329" s="180">
        <f t="shared" si="71"/>
      </c>
      <c r="E329" s="180">
        <f t="shared" si="65"/>
      </c>
      <c r="F329" s="180">
        <f t="shared" si="79"/>
      </c>
      <c r="G329" s="180">
        <f t="shared" si="80"/>
      </c>
      <c r="H329" s="180">
        <f t="shared" si="66"/>
      </c>
    </row>
    <row r="330" spans="1:8" ht="15">
      <c r="A330" s="189">
        <f>IF(B330="","","Jul")</f>
      </c>
      <c r="B330">
        <f t="shared" si="70"/>
      </c>
      <c r="C330" s="180">
        <f t="shared" si="78"/>
      </c>
      <c r="D330" s="180">
        <f t="shared" si="71"/>
      </c>
      <c r="E330" s="180">
        <f t="shared" si="65"/>
      </c>
      <c r="F330" s="180">
        <f t="shared" si="79"/>
      </c>
      <c r="G330" s="180">
        <f t="shared" si="80"/>
      </c>
      <c r="H330" s="180">
        <f t="shared" si="66"/>
      </c>
    </row>
    <row r="331" spans="1:9" ht="15">
      <c r="A331" s="189">
        <f>IF(B331="","","Aug")</f>
      </c>
      <c r="B331">
        <f t="shared" si="70"/>
      </c>
      <c r="C331" s="180">
        <f t="shared" si="78"/>
      </c>
      <c r="D331" s="180">
        <f t="shared" si="71"/>
      </c>
      <c r="E331" s="180">
        <f t="shared" si="65"/>
      </c>
      <c r="F331" s="180">
        <f t="shared" si="79"/>
      </c>
      <c r="G331" s="180">
        <f t="shared" si="80"/>
      </c>
      <c r="H331" s="180">
        <f t="shared" si="66"/>
      </c>
      <c r="I331" s="183">
        <f>IF(B324="","","Principal")</f>
      </c>
    </row>
    <row r="332" spans="1:9" ht="15">
      <c r="A332" s="189">
        <f>IF(B332="","","Sep")</f>
      </c>
      <c r="B332">
        <f t="shared" si="70"/>
      </c>
      <c r="C332" s="180">
        <f t="shared" si="78"/>
      </c>
      <c r="D332" s="180">
        <f t="shared" si="71"/>
      </c>
      <c r="E332" s="180">
        <f t="shared" si="65"/>
      </c>
      <c r="F332" s="180">
        <f t="shared" si="79"/>
      </c>
      <c r="G332" s="180">
        <f t="shared" si="80"/>
      </c>
      <c r="H332" s="180">
        <f t="shared" si="66"/>
      </c>
      <c r="I332" s="184">
        <f>IF(B324="","",SUM(E324:E335))</f>
      </c>
    </row>
    <row r="333" spans="1:9" ht="15">
      <c r="A333" s="189">
        <f>IF(B333="","","Oct")</f>
      </c>
      <c r="B333">
        <f t="shared" si="70"/>
      </c>
      <c r="C333" s="180">
        <f t="shared" si="78"/>
      </c>
      <c r="D333" s="180">
        <f t="shared" si="71"/>
      </c>
      <c r="E333" s="180">
        <f aca="true" t="shared" si="81" ref="E333:E383">IF(B333="","",IF(C333+D333&lt;($G$3+$C$7),(C333+D333)-D333,($G$3+$C$7)-D333))</f>
      </c>
      <c r="F333" s="180">
        <f t="shared" si="79"/>
      </c>
      <c r="G333" s="180">
        <f t="shared" si="80"/>
      </c>
      <c r="H333" s="180">
        <f aca="true" t="shared" si="82" ref="H333:H348">IF(B333="","",H332+D333)</f>
      </c>
      <c r="I333" s="183">
        <f>IF(B324="","","Interest")</f>
      </c>
    </row>
    <row r="334" spans="1:9" ht="15">
      <c r="A334" s="189">
        <f>IF(B334="","","Nov")</f>
      </c>
      <c r="B334">
        <f t="shared" si="70"/>
      </c>
      <c r="C334" s="180">
        <f aca="true" t="shared" si="83" ref="C334:C349">IF(B334="","",F333)</f>
      </c>
      <c r="D334" s="180">
        <f t="shared" si="71"/>
      </c>
      <c r="E334" s="180">
        <f t="shared" si="81"/>
      </c>
      <c r="F334" s="180">
        <f aca="true" t="shared" si="84" ref="F334:F349">IF(B334="","",C334-E334)</f>
      </c>
      <c r="G334" s="180">
        <f aca="true" t="shared" si="85" ref="G334:G349">IF(B334="","",G333+E334)</f>
      </c>
      <c r="H334" s="180">
        <f t="shared" si="82"/>
      </c>
      <c r="I334" s="184">
        <f>IF(B324="","",SUM(D324:D335))</f>
      </c>
    </row>
    <row r="335" spans="1:9" ht="15">
      <c r="A335" s="190">
        <f>IF(B335="","","Dec")</f>
      </c>
      <c r="B335" s="185">
        <f t="shared" si="70"/>
      </c>
      <c r="C335" s="186">
        <f t="shared" si="83"/>
      </c>
      <c r="D335" s="186">
        <f t="shared" si="71"/>
      </c>
      <c r="E335" s="186">
        <f t="shared" si="81"/>
      </c>
      <c r="F335" s="186">
        <f t="shared" si="84"/>
      </c>
      <c r="G335" s="186">
        <f t="shared" si="85"/>
      </c>
      <c r="H335" s="186">
        <f t="shared" si="82"/>
      </c>
      <c r="I335" s="185">
        <f>IF(B324="","","End of year 27")</f>
      </c>
    </row>
    <row r="336" spans="1:8" ht="15">
      <c r="A336" s="189">
        <f>IF(B336="","","Jan")</f>
      </c>
      <c r="B336">
        <f t="shared" si="70"/>
      </c>
      <c r="C336" s="180">
        <f t="shared" si="83"/>
      </c>
      <c r="D336" s="180">
        <f t="shared" si="71"/>
      </c>
      <c r="E336" s="180">
        <f t="shared" si="81"/>
      </c>
      <c r="F336" s="180">
        <f t="shared" si="84"/>
      </c>
      <c r="G336" s="180">
        <f t="shared" si="85"/>
      </c>
      <c r="H336" s="180">
        <f t="shared" si="82"/>
      </c>
    </row>
    <row r="337" spans="1:8" ht="15">
      <c r="A337" s="189">
        <f>IF(B337="","","Feb")</f>
      </c>
      <c r="B337">
        <f t="shared" si="70"/>
      </c>
      <c r="C337" s="180">
        <f t="shared" si="83"/>
      </c>
      <c r="D337" s="180">
        <f t="shared" si="71"/>
      </c>
      <c r="E337" s="180">
        <f t="shared" si="81"/>
      </c>
      <c r="F337" s="180">
        <f t="shared" si="84"/>
      </c>
      <c r="G337" s="180">
        <f t="shared" si="85"/>
      </c>
      <c r="H337" s="180">
        <f t="shared" si="82"/>
      </c>
    </row>
    <row r="338" spans="1:8" ht="15">
      <c r="A338" s="189">
        <f>IF(B338="","","Mar")</f>
      </c>
      <c r="B338">
        <f t="shared" si="70"/>
      </c>
      <c r="C338" s="180">
        <f t="shared" si="83"/>
      </c>
      <c r="D338" s="180">
        <f t="shared" si="71"/>
      </c>
      <c r="E338" s="180">
        <f t="shared" si="81"/>
      </c>
      <c r="F338" s="180">
        <f t="shared" si="84"/>
      </c>
      <c r="G338" s="180">
        <f t="shared" si="85"/>
      </c>
      <c r="H338" s="180">
        <f t="shared" si="82"/>
      </c>
    </row>
    <row r="339" spans="1:8" ht="15">
      <c r="A339" s="189">
        <f>IF(B339="","","Apr")</f>
      </c>
      <c r="B339">
        <f t="shared" si="70"/>
      </c>
      <c r="C339" s="180">
        <f t="shared" si="83"/>
      </c>
      <c r="D339" s="180">
        <f t="shared" si="71"/>
      </c>
      <c r="E339" s="180">
        <f t="shared" si="81"/>
      </c>
      <c r="F339" s="180">
        <f t="shared" si="84"/>
      </c>
      <c r="G339" s="180">
        <f t="shared" si="85"/>
      </c>
      <c r="H339" s="180">
        <f t="shared" si="82"/>
      </c>
    </row>
    <row r="340" spans="1:8" ht="15">
      <c r="A340" s="189">
        <f>IF(B340="","","May")</f>
      </c>
      <c r="B340">
        <f t="shared" si="70"/>
      </c>
      <c r="C340" s="180">
        <f t="shared" si="83"/>
      </c>
      <c r="D340" s="180">
        <f t="shared" si="71"/>
      </c>
      <c r="E340" s="180">
        <f t="shared" si="81"/>
      </c>
      <c r="F340" s="180">
        <f t="shared" si="84"/>
      </c>
      <c r="G340" s="180">
        <f t="shared" si="85"/>
      </c>
      <c r="H340" s="180">
        <f t="shared" si="82"/>
      </c>
    </row>
    <row r="341" spans="1:8" ht="15">
      <c r="A341" s="189">
        <f>IF(B341="","","Jun")</f>
      </c>
      <c r="B341">
        <f t="shared" si="70"/>
      </c>
      <c r="C341" s="180">
        <f t="shared" si="83"/>
      </c>
      <c r="D341" s="180">
        <f t="shared" si="71"/>
      </c>
      <c r="E341" s="180">
        <f t="shared" si="81"/>
      </c>
      <c r="F341" s="180">
        <f t="shared" si="84"/>
      </c>
      <c r="G341" s="180">
        <f t="shared" si="85"/>
      </c>
      <c r="H341" s="180">
        <f t="shared" si="82"/>
      </c>
    </row>
    <row r="342" spans="1:8" ht="15">
      <c r="A342" s="189">
        <f>IF(B342="","","Jul")</f>
      </c>
      <c r="B342">
        <f t="shared" si="70"/>
      </c>
      <c r="C342" s="180">
        <f t="shared" si="83"/>
      </c>
      <c r="D342" s="180">
        <f t="shared" si="71"/>
      </c>
      <c r="E342" s="180">
        <f t="shared" si="81"/>
      </c>
      <c r="F342" s="180">
        <f t="shared" si="84"/>
      </c>
      <c r="G342" s="180">
        <f t="shared" si="85"/>
      </c>
      <c r="H342" s="180">
        <f t="shared" si="82"/>
      </c>
    </row>
    <row r="343" spans="1:9" ht="15">
      <c r="A343" s="189">
        <f>IF(B343="","","Aug")</f>
      </c>
      <c r="B343">
        <f t="shared" si="70"/>
      </c>
      <c r="C343" s="180">
        <f t="shared" si="83"/>
      </c>
      <c r="D343" s="180">
        <f t="shared" si="71"/>
      </c>
      <c r="E343" s="180">
        <f t="shared" si="81"/>
      </c>
      <c r="F343" s="180">
        <f t="shared" si="84"/>
      </c>
      <c r="G343" s="180">
        <f t="shared" si="85"/>
      </c>
      <c r="H343" s="180">
        <f t="shared" si="82"/>
      </c>
      <c r="I343" s="183">
        <f>IF(B336="","","Principal")</f>
      </c>
    </row>
    <row r="344" spans="1:9" ht="15">
      <c r="A344" s="189">
        <f>IF(B344="","","Sep")</f>
      </c>
      <c r="B344">
        <f t="shared" si="70"/>
      </c>
      <c r="C344" s="180">
        <f t="shared" si="83"/>
      </c>
      <c r="D344" s="180">
        <f t="shared" si="71"/>
      </c>
      <c r="E344" s="180">
        <f t="shared" si="81"/>
      </c>
      <c r="F344" s="180">
        <f t="shared" si="84"/>
      </c>
      <c r="G344" s="180">
        <f t="shared" si="85"/>
      </c>
      <c r="H344" s="180">
        <f t="shared" si="82"/>
      </c>
      <c r="I344" s="184">
        <f>IF(B336="","",SUM(E336:E347))</f>
      </c>
    </row>
    <row r="345" spans="1:9" ht="15">
      <c r="A345" s="189">
        <f>IF(B345="","","Oct")</f>
      </c>
      <c r="B345">
        <f aca="true" t="shared" si="86" ref="B345:B383">IF(B344=ABS($C$5),"",IF(B344="","",IF(G344&gt;=$C$3,"",B344+1)))</f>
      </c>
      <c r="C345" s="180">
        <f t="shared" si="83"/>
      </c>
      <c r="D345" s="180">
        <f t="shared" si="71"/>
      </c>
      <c r="E345" s="180">
        <f t="shared" si="81"/>
      </c>
      <c r="F345" s="180">
        <f t="shared" si="84"/>
      </c>
      <c r="G345" s="180">
        <f t="shared" si="85"/>
      </c>
      <c r="H345" s="180">
        <f t="shared" si="82"/>
      </c>
      <c r="I345" s="183">
        <f>IF(B336="","","Interest")</f>
      </c>
    </row>
    <row r="346" spans="1:9" ht="15">
      <c r="A346" s="189">
        <f>IF(B346="","","Nov")</f>
      </c>
      <c r="B346">
        <f t="shared" si="86"/>
      </c>
      <c r="C346" s="180">
        <f t="shared" si="83"/>
      </c>
      <c r="D346" s="180">
        <f aca="true" t="shared" si="87" ref="D346:D383">IF(B346="","",C346*(($C$4/100)/12))</f>
      </c>
      <c r="E346" s="180">
        <f t="shared" si="81"/>
      </c>
      <c r="F346" s="180">
        <f t="shared" si="84"/>
      </c>
      <c r="G346" s="180">
        <f t="shared" si="85"/>
      </c>
      <c r="H346" s="180">
        <f t="shared" si="82"/>
      </c>
      <c r="I346" s="184">
        <f>IF(B336="","",SUM(D336:D347))</f>
      </c>
    </row>
    <row r="347" spans="1:9" ht="15">
      <c r="A347" s="190">
        <f>IF(B347="","","Dec")</f>
      </c>
      <c r="B347" s="185">
        <f t="shared" si="86"/>
      </c>
      <c r="C347" s="186">
        <f t="shared" si="83"/>
      </c>
      <c r="D347" s="186">
        <f t="shared" si="87"/>
      </c>
      <c r="E347" s="186">
        <f t="shared" si="81"/>
      </c>
      <c r="F347" s="186">
        <f t="shared" si="84"/>
      </c>
      <c r="G347" s="186">
        <f t="shared" si="85"/>
      </c>
      <c r="H347" s="186">
        <f t="shared" si="82"/>
      </c>
      <c r="I347" s="185">
        <f>IF(B336="","","End of year 28")</f>
      </c>
    </row>
    <row r="348" spans="1:8" ht="15">
      <c r="A348" s="189">
        <f>IF(B348="","","Jan")</f>
      </c>
      <c r="B348">
        <f t="shared" si="86"/>
      </c>
      <c r="C348" s="180">
        <f t="shared" si="83"/>
      </c>
      <c r="D348" s="180">
        <f t="shared" si="87"/>
      </c>
      <c r="E348" s="180">
        <f t="shared" si="81"/>
      </c>
      <c r="F348" s="180">
        <f t="shared" si="84"/>
      </c>
      <c r="G348" s="180">
        <f t="shared" si="85"/>
      </c>
      <c r="H348" s="180">
        <f t="shared" si="82"/>
      </c>
    </row>
    <row r="349" spans="1:8" ht="15">
      <c r="A349" s="189">
        <f>IF(B349="","","Feb")</f>
      </c>
      <c r="B349">
        <f t="shared" si="86"/>
      </c>
      <c r="C349" s="180">
        <f t="shared" si="83"/>
      </c>
      <c r="D349" s="180">
        <f t="shared" si="87"/>
      </c>
      <c r="E349" s="180">
        <f t="shared" si="81"/>
      </c>
      <c r="F349" s="180">
        <f t="shared" si="84"/>
      </c>
      <c r="G349" s="180">
        <f t="shared" si="85"/>
      </c>
      <c r="H349" s="180">
        <f aca="true" t="shared" si="88" ref="H349:H364">IF(B349="","",H348+D349)</f>
      </c>
    </row>
    <row r="350" spans="1:8" ht="15">
      <c r="A350" s="189">
        <f>IF(B350="","","Mar")</f>
      </c>
      <c r="B350">
        <f t="shared" si="86"/>
      </c>
      <c r="C350" s="180">
        <f aca="true" t="shared" si="89" ref="C350:C365">IF(B350="","",F349)</f>
      </c>
      <c r="D350" s="180">
        <f t="shared" si="87"/>
      </c>
      <c r="E350" s="180">
        <f t="shared" si="81"/>
      </c>
      <c r="F350" s="180">
        <f aca="true" t="shared" si="90" ref="F350:F365">IF(B350="","",C350-E350)</f>
      </c>
      <c r="G350" s="180">
        <f aca="true" t="shared" si="91" ref="G350:G365">IF(B350="","",G349+E350)</f>
      </c>
      <c r="H350" s="180">
        <f t="shared" si="88"/>
      </c>
    </row>
    <row r="351" spans="1:8" ht="15">
      <c r="A351" s="189">
        <f>IF(B351="","","Apr")</f>
      </c>
      <c r="B351">
        <f t="shared" si="86"/>
      </c>
      <c r="C351" s="180">
        <f t="shared" si="89"/>
      </c>
      <c r="D351" s="180">
        <f t="shared" si="87"/>
      </c>
      <c r="E351" s="180">
        <f t="shared" si="81"/>
      </c>
      <c r="F351" s="180">
        <f t="shared" si="90"/>
      </c>
      <c r="G351" s="180">
        <f t="shared" si="91"/>
      </c>
      <c r="H351" s="180">
        <f t="shared" si="88"/>
      </c>
    </row>
    <row r="352" spans="1:8" ht="15">
      <c r="A352" s="189">
        <f>IF(B352="","","May")</f>
      </c>
      <c r="B352">
        <f t="shared" si="86"/>
      </c>
      <c r="C352" s="180">
        <f t="shared" si="89"/>
      </c>
      <c r="D352" s="180">
        <f t="shared" si="87"/>
      </c>
      <c r="E352" s="180">
        <f t="shared" si="81"/>
      </c>
      <c r="F352" s="180">
        <f t="shared" si="90"/>
      </c>
      <c r="G352" s="180">
        <f t="shared" si="91"/>
      </c>
      <c r="H352" s="180">
        <f t="shared" si="88"/>
      </c>
    </row>
    <row r="353" spans="1:8" ht="15">
      <c r="A353" s="189">
        <f>IF(B353="","","Jun")</f>
      </c>
      <c r="B353">
        <f t="shared" si="86"/>
      </c>
      <c r="C353" s="180">
        <f t="shared" si="89"/>
      </c>
      <c r="D353" s="180">
        <f t="shared" si="87"/>
      </c>
      <c r="E353" s="180">
        <f t="shared" si="81"/>
      </c>
      <c r="F353" s="180">
        <f t="shared" si="90"/>
      </c>
      <c r="G353" s="180">
        <f t="shared" si="91"/>
      </c>
      <c r="H353" s="180">
        <f t="shared" si="88"/>
      </c>
    </row>
    <row r="354" spans="1:8" ht="15">
      <c r="A354" s="189">
        <f>IF(B354="","","Jul")</f>
      </c>
      <c r="B354">
        <f t="shared" si="86"/>
      </c>
      <c r="C354" s="180">
        <f t="shared" si="89"/>
      </c>
      <c r="D354" s="180">
        <f t="shared" si="87"/>
      </c>
      <c r="E354" s="180">
        <f t="shared" si="81"/>
      </c>
      <c r="F354" s="180">
        <f t="shared" si="90"/>
      </c>
      <c r="G354" s="180">
        <f t="shared" si="91"/>
      </c>
      <c r="H354" s="180">
        <f t="shared" si="88"/>
      </c>
    </row>
    <row r="355" spans="1:9" ht="15">
      <c r="A355" s="189">
        <f>IF(B355="","","Aug")</f>
      </c>
      <c r="B355">
        <f t="shared" si="86"/>
      </c>
      <c r="C355" s="180">
        <f t="shared" si="89"/>
      </c>
      <c r="D355" s="180">
        <f t="shared" si="87"/>
      </c>
      <c r="E355" s="180">
        <f t="shared" si="81"/>
      </c>
      <c r="F355" s="180">
        <f t="shared" si="90"/>
      </c>
      <c r="G355" s="180">
        <f t="shared" si="91"/>
      </c>
      <c r="H355" s="180">
        <f t="shared" si="88"/>
      </c>
      <c r="I355" s="183">
        <f>IF(B348="","","Principal")</f>
      </c>
    </row>
    <row r="356" spans="1:9" ht="15">
      <c r="A356" s="189">
        <f>IF(B356="","","Sep")</f>
      </c>
      <c r="B356">
        <f t="shared" si="86"/>
      </c>
      <c r="C356" s="180">
        <f t="shared" si="89"/>
      </c>
      <c r="D356" s="180">
        <f t="shared" si="87"/>
      </c>
      <c r="E356" s="180">
        <f t="shared" si="81"/>
      </c>
      <c r="F356" s="180">
        <f t="shared" si="90"/>
      </c>
      <c r="G356" s="180">
        <f t="shared" si="91"/>
      </c>
      <c r="H356" s="180">
        <f t="shared" si="88"/>
      </c>
      <c r="I356" s="184">
        <f>IF(B348="","",SUM(E348:E359))</f>
      </c>
    </row>
    <row r="357" spans="1:9" ht="15">
      <c r="A357" s="189">
        <f>IF(B357="","","Oct")</f>
      </c>
      <c r="B357">
        <f t="shared" si="86"/>
      </c>
      <c r="C357" s="180">
        <f t="shared" si="89"/>
      </c>
      <c r="D357" s="180">
        <f t="shared" si="87"/>
      </c>
      <c r="E357" s="180">
        <f t="shared" si="81"/>
      </c>
      <c r="F357" s="180">
        <f t="shared" si="90"/>
      </c>
      <c r="G357" s="180">
        <f t="shared" si="91"/>
      </c>
      <c r="H357" s="180">
        <f t="shared" si="88"/>
      </c>
      <c r="I357" s="183">
        <f>IF(B348="","","Interest")</f>
      </c>
    </row>
    <row r="358" spans="1:9" ht="15">
      <c r="A358" s="189">
        <f>IF(B358="","","Nov")</f>
      </c>
      <c r="B358">
        <f t="shared" si="86"/>
      </c>
      <c r="C358" s="180">
        <f t="shared" si="89"/>
      </c>
      <c r="D358" s="180">
        <f t="shared" si="87"/>
      </c>
      <c r="E358" s="180">
        <f t="shared" si="81"/>
      </c>
      <c r="F358" s="180">
        <f t="shared" si="90"/>
      </c>
      <c r="G358" s="180">
        <f t="shared" si="91"/>
      </c>
      <c r="H358" s="180">
        <f t="shared" si="88"/>
      </c>
      <c r="I358" s="184">
        <f>IF(B348="","",SUM(D348:D359))</f>
      </c>
    </row>
    <row r="359" spans="1:9" ht="15">
      <c r="A359" s="190">
        <f>IF(B359="","","Dec")</f>
      </c>
      <c r="B359" s="185">
        <f t="shared" si="86"/>
      </c>
      <c r="C359" s="186">
        <f t="shared" si="89"/>
      </c>
      <c r="D359" s="186">
        <f t="shared" si="87"/>
      </c>
      <c r="E359" s="186">
        <f t="shared" si="81"/>
      </c>
      <c r="F359" s="186">
        <f t="shared" si="90"/>
      </c>
      <c r="G359" s="186">
        <f t="shared" si="91"/>
      </c>
      <c r="H359" s="186">
        <f t="shared" si="88"/>
      </c>
      <c r="I359" s="185">
        <f>IF(B348="","","End of year 29")</f>
      </c>
    </row>
    <row r="360" spans="1:8" ht="15">
      <c r="A360" s="189">
        <f>IF(B360="","","Jan")</f>
      </c>
      <c r="B360">
        <f t="shared" si="86"/>
      </c>
      <c r="C360" s="180">
        <f t="shared" si="89"/>
      </c>
      <c r="D360" s="180">
        <f t="shared" si="87"/>
      </c>
      <c r="E360" s="180">
        <f t="shared" si="81"/>
      </c>
      <c r="F360" s="180">
        <f t="shared" si="90"/>
      </c>
      <c r="G360" s="180">
        <f t="shared" si="91"/>
      </c>
      <c r="H360" s="180">
        <f t="shared" si="88"/>
      </c>
    </row>
    <row r="361" spans="1:8" ht="15">
      <c r="A361" s="189">
        <f>IF(B361="","","Feb")</f>
      </c>
      <c r="B361">
        <f t="shared" si="86"/>
      </c>
      <c r="C361" s="180">
        <f t="shared" si="89"/>
      </c>
      <c r="D361" s="180">
        <f t="shared" si="87"/>
      </c>
      <c r="E361" s="180">
        <f t="shared" si="81"/>
      </c>
      <c r="F361" s="180">
        <f t="shared" si="90"/>
      </c>
      <c r="G361" s="180">
        <f t="shared" si="91"/>
      </c>
      <c r="H361" s="180">
        <f t="shared" si="88"/>
      </c>
    </row>
    <row r="362" spans="1:8" ht="15">
      <c r="A362" s="189">
        <f>IF(B362="","","Mar")</f>
      </c>
      <c r="B362">
        <f t="shared" si="86"/>
      </c>
      <c r="C362" s="180">
        <f t="shared" si="89"/>
      </c>
      <c r="D362" s="180">
        <f t="shared" si="87"/>
      </c>
      <c r="E362" s="180">
        <f t="shared" si="81"/>
      </c>
      <c r="F362" s="180">
        <f t="shared" si="90"/>
      </c>
      <c r="G362" s="180">
        <f t="shared" si="91"/>
      </c>
      <c r="H362" s="180">
        <f t="shared" si="88"/>
      </c>
    </row>
    <row r="363" spans="1:8" ht="15">
      <c r="A363" s="189">
        <f>IF(B363="","","Apr")</f>
      </c>
      <c r="B363">
        <f t="shared" si="86"/>
      </c>
      <c r="C363" s="180">
        <f t="shared" si="89"/>
      </c>
      <c r="D363" s="180">
        <f t="shared" si="87"/>
      </c>
      <c r="E363" s="180">
        <f t="shared" si="81"/>
      </c>
      <c r="F363" s="180">
        <f t="shared" si="90"/>
      </c>
      <c r="G363" s="180">
        <f t="shared" si="91"/>
      </c>
      <c r="H363" s="180">
        <f t="shared" si="88"/>
      </c>
    </row>
    <row r="364" spans="1:8" ht="15">
      <c r="A364" s="189">
        <f>IF(B364="","","May")</f>
      </c>
      <c r="B364">
        <f t="shared" si="86"/>
      </c>
      <c r="C364" s="180">
        <f t="shared" si="89"/>
      </c>
      <c r="D364" s="180">
        <f t="shared" si="87"/>
      </c>
      <c r="E364" s="180">
        <f t="shared" si="81"/>
      </c>
      <c r="F364" s="180">
        <f t="shared" si="90"/>
      </c>
      <c r="G364" s="180">
        <f t="shared" si="91"/>
      </c>
      <c r="H364" s="180">
        <f t="shared" si="88"/>
      </c>
    </row>
    <row r="365" spans="1:8" ht="15">
      <c r="A365" s="189">
        <f>IF(B365="","","Jun")</f>
      </c>
      <c r="B365">
        <f t="shared" si="86"/>
      </c>
      <c r="C365" s="180">
        <f t="shared" si="89"/>
      </c>
      <c r="D365" s="180">
        <f t="shared" si="87"/>
      </c>
      <c r="E365" s="180">
        <f t="shared" si="81"/>
      </c>
      <c r="F365" s="180">
        <f t="shared" si="90"/>
      </c>
      <c r="G365" s="180">
        <f t="shared" si="91"/>
      </c>
      <c r="H365" s="180">
        <f aca="true" t="shared" si="92" ref="H365:H380">IF(B365="","",H364+D365)</f>
      </c>
    </row>
    <row r="366" spans="1:8" ht="15">
      <c r="A366" s="189">
        <f>IF(B366="","","Jul")</f>
      </c>
      <c r="B366">
        <f t="shared" si="86"/>
      </c>
      <c r="C366" s="180">
        <f aca="true" t="shared" si="93" ref="C366:C381">IF(B366="","",F365)</f>
      </c>
      <c r="D366" s="180">
        <f t="shared" si="87"/>
      </c>
      <c r="E366" s="180">
        <f t="shared" si="81"/>
      </c>
      <c r="F366" s="180">
        <f aca="true" t="shared" si="94" ref="F366:F381">IF(B366="","",C366-E366)</f>
      </c>
      <c r="G366" s="180">
        <f aca="true" t="shared" si="95" ref="G366:G381">IF(B366="","",G365+E366)</f>
      </c>
      <c r="H366" s="180">
        <f t="shared" si="92"/>
      </c>
    </row>
    <row r="367" spans="1:9" ht="15">
      <c r="A367" s="189">
        <f>IF(B367="","","Aug")</f>
      </c>
      <c r="B367">
        <f t="shared" si="86"/>
      </c>
      <c r="C367" s="180">
        <f t="shared" si="93"/>
      </c>
      <c r="D367" s="180">
        <f t="shared" si="87"/>
      </c>
      <c r="E367" s="180">
        <f t="shared" si="81"/>
      </c>
      <c r="F367" s="180">
        <f t="shared" si="94"/>
      </c>
      <c r="G367" s="180">
        <f t="shared" si="95"/>
      </c>
      <c r="H367" s="180">
        <f t="shared" si="92"/>
      </c>
      <c r="I367" s="183">
        <f>IF(B360="","","Principal")</f>
      </c>
    </row>
    <row r="368" spans="1:9" ht="15">
      <c r="A368" s="189">
        <f>IF(B368="","","Sep")</f>
      </c>
      <c r="B368">
        <f t="shared" si="86"/>
      </c>
      <c r="C368" s="180">
        <f t="shared" si="93"/>
      </c>
      <c r="D368" s="180">
        <f t="shared" si="87"/>
      </c>
      <c r="E368" s="180">
        <f t="shared" si="81"/>
      </c>
      <c r="F368" s="180">
        <f t="shared" si="94"/>
      </c>
      <c r="G368" s="180">
        <f t="shared" si="95"/>
      </c>
      <c r="H368" s="180">
        <f t="shared" si="92"/>
      </c>
      <c r="I368" s="184">
        <f>IF(B360="","",SUM(E360:E371))</f>
      </c>
    </row>
    <row r="369" spans="1:9" ht="15">
      <c r="A369" s="189">
        <f>IF(B369="","","Oct")</f>
      </c>
      <c r="B369">
        <f t="shared" si="86"/>
      </c>
      <c r="C369" s="180">
        <f t="shared" si="93"/>
      </c>
      <c r="D369" s="180">
        <f t="shared" si="87"/>
      </c>
      <c r="E369" s="180">
        <f t="shared" si="81"/>
      </c>
      <c r="F369" s="180">
        <f t="shared" si="94"/>
      </c>
      <c r="G369" s="180">
        <f t="shared" si="95"/>
      </c>
      <c r="H369" s="180">
        <f t="shared" si="92"/>
      </c>
      <c r="I369" s="183">
        <f>IF(B360="","","Interest")</f>
      </c>
    </row>
    <row r="370" spans="1:9" ht="15">
      <c r="A370" s="189">
        <f>IF(B370="","","Nov")</f>
      </c>
      <c r="B370">
        <f t="shared" si="86"/>
      </c>
      <c r="C370" s="180">
        <f t="shared" si="93"/>
      </c>
      <c r="D370" s="180">
        <f t="shared" si="87"/>
      </c>
      <c r="E370" s="180">
        <f t="shared" si="81"/>
      </c>
      <c r="F370" s="180">
        <f t="shared" si="94"/>
      </c>
      <c r="G370" s="180">
        <f t="shared" si="95"/>
      </c>
      <c r="H370" s="180">
        <f t="shared" si="92"/>
      </c>
      <c r="I370" s="184">
        <f>IF(B360="","",SUM(D360:D371))</f>
      </c>
    </row>
    <row r="371" spans="1:9" ht="15">
      <c r="A371" s="190">
        <f>IF(B371="","","Dec")</f>
      </c>
      <c r="B371" s="185">
        <f t="shared" si="86"/>
      </c>
      <c r="C371" s="186">
        <f t="shared" si="93"/>
      </c>
      <c r="D371" s="186">
        <f t="shared" si="87"/>
      </c>
      <c r="E371" s="186">
        <f t="shared" si="81"/>
      </c>
      <c r="F371" s="186">
        <f t="shared" si="94"/>
      </c>
      <c r="G371" s="186">
        <f t="shared" si="95"/>
      </c>
      <c r="H371" s="186">
        <f t="shared" si="92"/>
      </c>
      <c r="I371" s="185">
        <f>IF(B360="","","End of year 30")</f>
      </c>
    </row>
    <row r="372" spans="1:8" ht="15">
      <c r="A372" s="189">
        <f>IF(B372="","","Jan")</f>
      </c>
      <c r="B372">
        <f t="shared" si="86"/>
      </c>
      <c r="C372" s="180">
        <f t="shared" si="93"/>
      </c>
      <c r="D372" s="180">
        <f t="shared" si="87"/>
      </c>
      <c r="E372" s="180">
        <f t="shared" si="81"/>
      </c>
      <c r="F372" s="180">
        <f t="shared" si="94"/>
      </c>
      <c r="G372" s="180">
        <f t="shared" si="95"/>
      </c>
      <c r="H372" s="180">
        <f t="shared" si="92"/>
      </c>
    </row>
    <row r="373" spans="1:8" ht="15">
      <c r="A373" s="189">
        <f>IF(B373="","","Feb")</f>
      </c>
      <c r="B373">
        <f t="shared" si="86"/>
      </c>
      <c r="C373" s="180">
        <f t="shared" si="93"/>
      </c>
      <c r="D373" s="180">
        <f t="shared" si="87"/>
      </c>
      <c r="E373" s="180">
        <f t="shared" si="81"/>
      </c>
      <c r="F373" s="180">
        <f t="shared" si="94"/>
      </c>
      <c r="G373" s="180">
        <f t="shared" si="95"/>
      </c>
      <c r="H373" s="180">
        <f t="shared" si="92"/>
      </c>
    </row>
    <row r="374" spans="1:8" ht="15">
      <c r="A374" s="189">
        <f>IF(B374="","","Mar")</f>
      </c>
      <c r="B374">
        <f t="shared" si="86"/>
      </c>
      <c r="C374" s="180">
        <f t="shared" si="93"/>
      </c>
      <c r="D374" s="180">
        <f t="shared" si="87"/>
      </c>
      <c r="E374" s="180">
        <f t="shared" si="81"/>
      </c>
      <c r="F374" s="180">
        <f t="shared" si="94"/>
      </c>
      <c r="G374" s="180">
        <f t="shared" si="95"/>
      </c>
      <c r="H374" s="180">
        <f t="shared" si="92"/>
      </c>
    </row>
    <row r="375" spans="1:8" ht="15">
      <c r="A375" s="189">
        <f>IF(B375="","","Apr")</f>
      </c>
      <c r="B375">
        <f t="shared" si="86"/>
      </c>
      <c r="C375" s="180">
        <f t="shared" si="93"/>
      </c>
      <c r="D375" s="180">
        <f t="shared" si="87"/>
      </c>
      <c r="E375" s="180">
        <f t="shared" si="81"/>
      </c>
      <c r="F375" s="180">
        <f t="shared" si="94"/>
      </c>
      <c r="G375" s="180">
        <f t="shared" si="95"/>
      </c>
      <c r="H375" s="180">
        <f t="shared" si="92"/>
      </c>
    </row>
    <row r="376" spans="1:8" ht="15">
      <c r="A376" s="189">
        <f>IF(B376="","","May")</f>
      </c>
      <c r="B376">
        <f t="shared" si="86"/>
      </c>
      <c r="C376" s="180">
        <f t="shared" si="93"/>
      </c>
      <c r="D376" s="180">
        <f t="shared" si="87"/>
      </c>
      <c r="E376" s="180">
        <f t="shared" si="81"/>
      </c>
      <c r="F376" s="180">
        <f t="shared" si="94"/>
      </c>
      <c r="G376" s="180">
        <f t="shared" si="95"/>
      </c>
      <c r="H376" s="180">
        <f t="shared" si="92"/>
      </c>
    </row>
    <row r="377" spans="1:8" ht="15">
      <c r="A377" s="189">
        <f>IF(B377="","","Jun")</f>
      </c>
      <c r="B377">
        <f t="shared" si="86"/>
      </c>
      <c r="C377" s="180">
        <f t="shared" si="93"/>
      </c>
      <c r="D377" s="180">
        <f t="shared" si="87"/>
      </c>
      <c r="E377" s="180">
        <f t="shared" si="81"/>
      </c>
      <c r="F377" s="180">
        <f t="shared" si="94"/>
      </c>
      <c r="G377" s="180">
        <f t="shared" si="95"/>
      </c>
      <c r="H377" s="180">
        <f t="shared" si="92"/>
      </c>
    </row>
    <row r="378" spans="1:8" ht="15">
      <c r="A378" s="189">
        <f>IF(B378="","","Jul")</f>
      </c>
      <c r="B378">
        <f t="shared" si="86"/>
      </c>
      <c r="C378" s="180">
        <f t="shared" si="93"/>
      </c>
      <c r="D378" s="180">
        <f t="shared" si="87"/>
      </c>
      <c r="E378" s="180">
        <f t="shared" si="81"/>
      </c>
      <c r="F378" s="180">
        <f t="shared" si="94"/>
      </c>
      <c r="G378" s="180">
        <f t="shared" si="95"/>
      </c>
      <c r="H378" s="180">
        <f t="shared" si="92"/>
      </c>
    </row>
    <row r="379" spans="1:9" ht="15">
      <c r="A379" s="189">
        <f>IF(B379="","","Aug")</f>
      </c>
      <c r="B379">
        <f t="shared" si="86"/>
      </c>
      <c r="C379" s="180">
        <f t="shared" si="93"/>
      </c>
      <c r="D379" s="180">
        <f t="shared" si="87"/>
      </c>
      <c r="E379" s="180">
        <f t="shared" si="81"/>
      </c>
      <c r="F379" s="180">
        <f t="shared" si="94"/>
      </c>
      <c r="G379" s="180">
        <f t="shared" si="95"/>
      </c>
      <c r="H379" s="180">
        <f t="shared" si="92"/>
      </c>
      <c r="I379" s="183">
        <f>IF(B372="","","Principal")</f>
      </c>
    </row>
    <row r="380" spans="1:9" ht="15">
      <c r="A380" s="189">
        <f>IF(B380="","","Sep")</f>
      </c>
      <c r="B380">
        <f t="shared" si="86"/>
      </c>
      <c r="C380" s="180">
        <f t="shared" si="93"/>
      </c>
      <c r="D380" s="180">
        <f t="shared" si="87"/>
      </c>
      <c r="E380" s="180">
        <f t="shared" si="81"/>
      </c>
      <c r="F380" s="180">
        <f t="shared" si="94"/>
      </c>
      <c r="G380" s="180">
        <f t="shared" si="95"/>
      </c>
      <c r="H380" s="180">
        <f t="shared" si="92"/>
      </c>
      <c r="I380" s="184">
        <f>IF(B372="","",SUM(E372:E383))</f>
      </c>
    </row>
    <row r="381" spans="1:9" ht="15">
      <c r="A381" s="189">
        <f>IF(B381="","","Oct")</f>
      </c>
      <c r="B381">
        <f t="shared" si="86"/>
      </c>
      <c r="C381" s="180">
        <f t="shared" si="93"/>
      </c>
      <c r="D381" s="180">
        <f t="shared" si="87"/>
      </c>
      <c r="E381" s="180">
        <f t="shared" si="81"/>
      </c>
      <c r="F381" s="180">
        <f t="shared" si="94"/>
      </c>
      <c r="G381" s="180">
        <f t="shared" si="95"/>
      </c>
      <c r="H381" s="180">
        <f>IF(B381="","",H380+D381)</f>
      </c>
      <c r="I381" s="183">
        <f>IF(B372="","","Interest")</f>
      </c>
    </row>
    <row r="382" spans="1:9" ht="15">
      <c r="A382" s="189">
        <f>IF(B382="","","Nov")</f>
      </c>
      <c r="B382">
        <f t="shared" si="86"/>
      </c>
      <c r="C382" s="180">
        <f>IF(B382="","",F381)</f>
      </c>
      <c r="D382" s="180">
        <f t="shared" si="87"/>
      </c>
      <c r="E382" s="180">
        <f t="shared" si="81"/>
      </c>
      <c r="F382" s="180">
        <f>IF(B382="","",C382-E382)</f>
      </c>
      <c r="G382" s="180">
        <f>IF(B382="","",G381+E382)</f>
      </c>
      <c r="H382" s="180">
        <f>IF(B382="","",H381+D382)</f>
      </c>
      <c r="I382" s="184">
        <f>IF(B372="","",SUM(D372:D383))</f>
      </c>
    </row>
    <row r="383" spans="1:9" ht="15">
      <c r="A383" s="190">
        <f>IF(B383="","","Dec")</f>
      </c>
      <c r="B383" s="185">
        <f t="shared" si="86"/>
      </c>
      <c r="C383" s="186">
        <f>IF(B383="","",F382)</f>
      </c>
      <c r="D383" s="186">
        <f t="shared" si="87"/>
      </c>
      <c r="E383" s="186">
        <f t="shared" si="81"/>
      </c>
      <c r="F383" s="186">
        <f>IF(B383="","",C383-E383)</f>
      </c>
      <c r="G383" s="186">
        <f>IF(B383="","",G382+E383)</f>
      </c>
      <c r="H383" s="186">
        <f>IF(B383="","",H382+D383)</f>
      </c>
      <c r="I383" s="185">
        <f>IF(B372="","","End of year 31")</f>
      </c>
    </row>
    <row r="384" spans="3:8" ht="15">
      <c r="C384" s="180"/>
      <c r="D384" s="180"/>
      <c r="E384" s="180"/>
      <c r="F384" s="180"/>
      <c r="G384" s="180"/>
      <c r="H384" s="180"/>
    </row>
    <row r="385" spans="3:8" ht="15">
      <c r="C385" s="180"/>
      <c r="D385" s="180"/>
      <c r="E385" s="180"/>
      <c r="F385" s="180"/>
      <c r="G385" s="180"/>
      <c r="H385" s="180"/>
    </row>
    <row r="386" spans="3:8" ht="15">
      <c r="C386" s="180"/>
      <c r="D386" s="180"/>
      <c r="E386" s="180"/>
      <c r="F386" s="180"/>
      <c r="G386" s="180"/>
      <c r="H386" s="180"/>
    </row>
    <row r="387" spans="3:8" ht="15">
      <c r="C387" s="180"/>
      <c r="D387" s="180"/>
      <c r="E387" s="180"/>
      <c r="F387" s="180"/>
      <c r="G387" s="180"/>
      <c r="H387" s="180"/>
    </row>
    <row r="388" spans="3:8" ht="15">
      <c r="C388" s="180"/>
      <c r="D388" s="180"/>
      <c r="E388" s="180"/>
      <c r="F388" s="180"/>
      <c r="G388" s="180"/>
      <c r="H388" s="180"/>
    </row>
    <row r="389" spans="3:8" ht="15">
      <c r="C389" s="180"/>
      <c r="D389" s="180"/>
      <c r="E389" s="180"/>
      <c r="F389" s="180"/>
      <c r="G389" s="180"/>
      <c r="H389" s="180"/>
    </row>
    <row r="390" spans="3:9" ht="15">
      <c r="C390" s="180"/>
      <c r="D390" s="180"/>
      <c r="E390" s="180"/>
      <c r="F390" s="180"/>
      <c r="G390" s="180"/>
      <c r="H390" s="180"/>
      <c r="I390" s="183"/>
    </row>
    <row r="391" spans="3:9" ht="15">
      <c r="C391" s="180"/>
      <c r="D391" s="180"/>
      <c r="E391" s="180"/>
      <c r="F391" s="180"/>
      <c r="G391" s="180"/>
      <c r="H391" s="180"/>
      <c r="I391" s="184"/>
    </row>
    <row r="392" spans="3:9" ht="15">
      <c r="C392" s="180"/>
      <c r="D392" s="180"/>
      <c r="E392" s="180"/>
      <c r="F392" s="180"/>
      <c r="G392" s="180"/>
      <c r="H392" s="180"/>
      <c r="I392" s="183"/>
    </row>
    <row r="393" spans="3:9" ht="15">
      <c r="C393" s="180"/>
      <c r="D393" s="180"/>
      <c r="E393" s="180"/>
      <c r="F393" s="180"/>
      <c r="G393" s="180"/>
      <c r="H393" s="180"/>
      <c r="I393" s="184"/>
    </row>
    <row r="394" spans="3:8" ht="15">
      <c r="C394" s="180"/>
      <c r="D394" s="180"/>
      <c r="E394" s="180"/>
      <c r="F394" s="180"/>
      <c r="G394" s="180"/>
      <c r="H394" s="180"/>
    </row>
    <row r="395" spans="3:8" ht="15">
      <c r="C395" s="180"/>
      <c r="D395" s="180"/>
      <c r="E395" s="180"/>
      <c r="F395" s="180"/>
      <c r="G395" s="180"/>
      <c r="H395" s="180"/>
    </row>
    <row r="396" spans="3:8" ht="15">
      <c r="C396" s="180"/>
      <c r="D396" s="180"/>
      <c r="E396" s="180"/>
      <c r="F396" s="180"/>
      <c r="G396" s="180"/>
      <c r="H396" s="180"/>
    </row>
    <row r="397" spans="3:8" ht="15">
      <c r="C397" s="180"/>
      <c r="D397" s="180"/>
      <c r="E397" s="180"/>
      <c r="F397" s="180"/>
      <c r="G397" s="180"/>
      <c r="H397" s="180"/>
    </row>
    <row r="398" spans="3:8" ht="15">
      <c r="C398" s="180"/>
      <c r="D398" s="180"/>
      <c r="E398" s="180"/>
      <c r="F398" s="180"/>
      <c r="G398" s="180"/>
      <c r="H398" s="180"/>
    </row>
    <row r="399" spans="3:8" ht="15">
      <c r="C399" s="180"/>
      <c r="D399" s="180"/>
      <c r="E399" s="180"/>
      <c r="F399" s="180"/>
      <c r="G399" s="180"/>
      <c r="H399" s="180"/>
    </row>
    <row r="400" spans="3:8" ht="15">
      <c r="C400" s="180"/>
      <c r="D400" s="180"/>
      <c r="E400" s="180"/>
      <c r="F400" s="180"/>
      <c r="G400" s="180"/>
      <c r="H400" s="180"/>
    </row>
    <row r="401" spans="3:8" ht="15">
      <c r="C401" s="180"/>
      <c r="D401" s="180"/>
      <c r="E401" s="180"/>
      <c r="F401" s="180"/>
      <c r="G401" s="180"/>
      <c r="H401" s="180"/>
    </row>
    <row r="402" spans="3:9" ht="15">
      <c r="C402" s="180"/>
      <c r="D402" s="180"/>
      <c r="E402" s="180"/>
      <c r="F402" s="180"/>
      <c r="G402" s="180"/>
      <c r="H402" s="180"/>
      <c r="I402" s="183"/>
    </row>
    <row r="403" spans="3:9" ht="15">
      <c r="C403" s="180"/>
      <c r="D403" s="180"/>
      <c r="E403" s="180"/>
      <c r="F403" s="180"/>
      <c r="G403" s="180"/>
      <c r="H403" s="180"/>
      <c r="I403" s="184"/>
    </row>
    <row r="404" spans="3:9" ht="15">
      <c r="C404" s="180"/>
      <c r="D404" s="180"/>
      <c r="E404" s="180"/>
      <c r="F404" s="180"/>
      <c r="G404" s="180"/>
      <c r="H404" s="180"/>
      <c r="I404" s="183"/>
    </row>
    <row r="405" spans="3:9" ht="15">
      <c r="C405" s="180"/>
      <c r="D405" s="180"/>
      <c r="E405" s="180"/>
      <c r="F405" s="180"/>
      <c r="G405" s="180"/>
      <c r="H405" s="180"/>
      <c r="I405" s="184"/>
    </row>
    <row r="406" spans="3:8" ht="15">
      <c r="C406" s="180"/>
      <c r="D406" s="180"/>
      <c r="E406" s="180"/>
      <c r="F406" s="180"/>
      <c r="G406" s="180"/>
      <c r="H406" s="180"/>
    </row>
    <row r="407" spans="3:8" ht="15">
      <c r="C407" s="180"/>
      <c r="D407" s="180"/>
      <c r="E407" s="180"/>
      <c r="F407" s="180"/>
      <c r="G407" s="180"/>
      <c r="H407" s="180"/>
    </row>
    <row r="408" spans="3:8" ht="15">
      <c r="C408" s="180"/>
      <c r="D408" s="180"/>
      <c r="E408" s="180"/>
      <c r="F408" s="180"/>
      <c r="G408" s="180"/>
      <c r="H408" s="180"/>
    </row>
    <row r="409" spans="3:8" ht="15">
      <c r="C409" s="180"/>
      <c r="D409" s="180"/>
      <c r="E409" s="180"/>
      <c r="F409" s="180"/>
      <c r="G409" s="180"/>
      <c r="H409" s="180"/>
    </row>
    <row r="410" spans="3:8" ht="15">
      <c r="C410" s="180"/>
      <c r="D410" s="180"/>
      <c r="E410" s="180"/>
      <c r="F410" s="180"/>
      <c r="G410" s="180"/>
      <c r="H410" s="180"/>
    </row>
    <row r="411" spans="3:8" ht="15">
      <c r="C411" s="180"/>
      <c r="D411" s="180"/>
      <c r="E411" s="180"/>
      <c r="F411" s="180"/>
      <c r="G411" s="180"/>
      <c r="H411" s="180"/>
    </row>
    <row r="412" spans="3:8" ht="15">
      <c r="C412" s="180"/>
      <c r="D412" s="180"/>
      <c r="E412" s="180"/>
      <c r="F412" s="180"/>
      <c r="G412" s="180"/>
      <c r="H412" s="180"/>
    </row>
    <row r="413" spans="3:8" ht="15">
      <c r="C413" s="180"/>
      <c r="D413" s="180"/>
      <c r="E413" s="180"/>
      <c r="F413" s="180"/>
      <c r="G413" s="180"/>
      <c r="H413" s="180"/>
    </row>
    <row r="414" spans="3:9" ht="15">
      <c r="C414" s="180"/>
      <c r="D414" s="180"/>
      <c r="E414" s="180"/>
      <c r="F414" s="180"/>
      <c r="G414" s="180"/>
      <c r="H414" s="180"/>
      <c r="I414" s="183"/>
    </row>
    <row r="415" spans="3:9" ht="15">
      <c r="C415" s="180"/>
      <c r="D415" s="180"/>
      <c r="E415" s="180"/>
      <c r="F415" s="180"/>
      <c r="G415" s="180"/>
      <c r="H415" s="180"/>
      <c r="I415" s="184"/>
    </row>
    <row r="416" spans="3:9" ht="15">
      <c r="C416" s="180"/>
      <c r="D416" s="180"/>
      <c r="E416" s="180"/>
      <c r="F416" s="180"/>
      <c r="G416" s="180"/>
      <c r="H416" s="180"/>
      <c r="I416" s="183"/>
    </row>
    <row r="417" spans="3:9" ht="15">
      <c r="C417" s="180"/>
      <c r="D417" s="180"/>
      <c r="E417" s="180"/>
      <c r="F417" s="180"/>
      <c r="G417" s="180"/>
      <c r="H417" s="180"/>
      <c r="I417" s="184"/>
    </row>
    <row r="418" spans="3:8" ht="15">
      <c r="C418" s="180"/>
      <c r="D418" s="180"/>
      <c r="E418" s="180"/>
      <c r="F418" s="180"/>
      <c r="G418" s="180"/>
      <c r="H418" s="180"/>
    </row>
    <row r="419" spans="3:8" ht="15">
      <c r="C419" s="180"/>
      <c r="D419" s="180"/>
      <c r="E419" s="180"/>
      <c r="F419" s="180"/>
      <c r="G419" s="180"/>
      <c r="H419" s="180"/>
    </row>
    <row r="420" spans="3:8" ht="15">
      <c r="C420" s="180"/>
      <c r="D420" s="180"/>
      <c r="E420" s="180"/>
      <c r="F420" s="180"/>
      <c r="G420" s="180"/>
      <c r="H420" s="180"/>
    </row>
    <row r="421" spans="3:8" ht="15">
      <c r="C421" s="180"/>
      <c r="D421" s="180"/>
      <c r="E421" s="180"/>
      <c r="F421" s="180"/>
      <c r="G421" s="180"/>
      <c r="H421" s="180"/>
    </row>
    <row r="422" spans="3:8" ht="15">
      <c r="C422" s="180"/>
      <c r="D422" s="180"/>
      <c r="E422" s="180"/>
      <c r="F422" s="180"/>
      <c r="G422" s="180"/>
      <c r="H422" s="180"/>
    </row>
    <row r="423" spans="3:8" ht="15">
      <c r="C423" s="180"/>
      <c r="D423" s="180"/>
      <c r="E423" s="180"/>
      <c r="F423" s="180"/>
      <c r="G423" s="180"/>
      <c r="H423" s="180"/>
    </row>
    <row r="424" spans="3:8" ht="15">
      <c r="C424" s="180"/>
      <c r="D424" s="180"/>
      <c r="E424" s="180"/>
      <c r="F424" s="180"/>
      <c r="G424" s="180"/>
      <c r="H424" s="180"/>
    </row>
    <row r="425" spans="3:8" ht="15">
      <c r="C425" s="180"/>
      <c r="D425" s="180"/>
      <c r="E425" s="180"/>
      <c r="F425" s="180"/>
      <c r="G425" s="180"/>
      <c r="H425" s="180"/>
    </row>
    <row r="426" spans="3:9" ht="15">
      <c r="C426" s="180"/>
      <c r="D426" s="180"/>
      <c r="E426" s="180"/>
      <c r="F426" s="180"/>
      <c r="G426" s="180"/>
      <c r="H426" s="180"/>
      <c r="I426" s="183"/>
    </row>
    <row r="427" spans="3:9" ht="15">
      <c r="C427" s="180"/>
      <c r="D427" s="180"/>
      <c r="E427" s="180"/>
      <c r="F427" s="180"/>
      <c r="G427" s="180"/>
      <c r="H427" s="180"/>
      <c r="I427" s="184"/>
    </row>
    <row r="428" spans="3:9" ht="15">
      <c r="C428" s="180"/>
      <c r="D428" s="180"/>
      <c r="E428" s="180"/>
      <c r="F428" s="180"/>
      <c r="G428" s="180"/>
      <c r="H428" s="180"/>
      <c r="I428" s="183"/>
    </row>
    <row r="429" spans="3:9" ht="15">
      <c r="C429" s="180"/>
      <c r="D429" s="180"/>
      <c r="E429" s="180"/>
      <c r="F429" s="180"/>
      <c r="G429" s="180"/>
      <c r="H429" s="180"/>
      <c r="I429" s="184"/>
    </row>
    <row r="430" spans="3:8" ht="15">
      <c r="C430" s="180"/>
      <c r="D430" s="180"/>
      <c r="E430" s="180"/>
      <c r="F430" s="180"/>
      <c r="G430" s="180"/>
      <c r="H430" s="180"/>
    </row>
    <row r="431" spans="3:8" ht="15">
      <c r="C431" s="180"/>
      <c r="D431" s="180"/>
      <c r="E431" s="180"/>
      <c r="F431" s="180"/>
      <c r="G431" s="180"/>
      <c r="H431" s="180"/>
    </row>
    <row r="432" spans="3:8" ht="15">
      <c r="C432" s="180"/>
      <c r="D432" s="180"/>
      <c r="E432" s="180"/>
      <c r="F432" s="180"/>
      <c r="G432" s="180"/>
      <c r="H432" s="180"/>
    </row>
    <row r="433" spans="3:8" ht="15">
      <c r="C433" s="180"/>
      <c r="D433" s="180"/>
      <c r="E433" s="180"/>
      <c r="F433" s="180"/>
      <c r="G433" s="180"/>
      <c r="H433" s="180"/>
    </row>
    <row r="434" spans="3:8" ht="15">
      <c r="C434" s="180"/>
      <c r="D434" s="180"/>
      <c r="E434" s="180"/>
      <c r="F434" s="180"/>
      <c r="G434" s="180"/>
      <c r="H434" s="180"/>
    </row>
    <row r="435" spans="3:8" ht="15">
      <c r="C435" s="180"/>
      <c r="D435" s="180"/>
      <c r="E435" s="180"/>
      <c r="F435" s="180"/>
      <c r="G435" s="180"/>
      <c r="H435" s="180"/>
    </row>
    <row r="436" spans="3:8" ht="15">
      <c r="C436" s="180"/>
      <c r="D436" s="180"/>
      <c r="E436" s="180"/>
      <c r="F436" s="180"/>
      <c r="G436" s="180"/>
      <c r="H436" s="180"/>
    </row>
    <row r="437" spans="3:8" ht="15">
      <c r="C437" s="180"/>
      <c r="D437" s="180"/>
      <c r="E437" s="180"/>
      <c r="F437" s="180"/>
      <c r="G437" s="180"/>
      <c r="H437" s="180"/>
    </row>
    <row r="438" spans="3:9" ht="15">
      <c r="C438" s="180"/>
      <c r="D438" s="180"/>
      <c r="E438" s="180"/>
      <c r="F438" s="180"/>
      <c r="G438" s="180"/>
      <c r="H438" s="180"/>
      <c r="I438" s="183"/>
    </row>
    <row r="439" spans="3:9" ht="15">
      <c r="C439" s="180"/>
      <c r="D439" s="180"/>
      <c r="E439" s="180"/>
      <c r="F439" s="180"/>
      <c r="G439" s="180"/>
      <c r="H439" s="180"/>
      <c r="I439" s="184"/>
    </row>
    <row r="440" spans="3:9" ht="15">
      <c r="C440" s="180"/>
      <c r="D440" s="180"/>
      <c r="E440" s="180"/>
      <c r="F440" s="180"/>
      <c r="G440" s="180"/>
      <c r="H440" s="180"/>
      <c r="I440" s="183"/>
    </row>
    <row r="441" spans="3:9" ht="15">
      <c r="C441" s="180"/>
      <c r="D441" s="180"/>
      <c r="E441" s="180"/>
      <c r="F441" s="180"/>
      <c r="G441" s="180"/>
      <c r="H441" s="180"/>
      <c r="I441" s="184"/>
    </row>
    <row r="442" spans="3:8" ht="15">
      <c r="C442" s="180"/>
      <c r="D442" s="180"/>
      <c r="E442" s="180"/>
      <c r="F442" s="180"/>
      <c r="G442" s="180"/>
      <c r="H442" s="180"/>
    </row>
    <row r="443" spans="3:8" ht="15">
      <c r="C443" s="180"/>
      <c r="D443" s="180"/>
      <c r="E443" s="180"/>
      <c r="F443" s="180"/>
      <c r="G443" s="180"/>
      <c r="H443" s="180"/>
    </row>
    <row r="444" spans="3:8" ht="15">
      <c r="C444" s="180"/>
      <c r="D444" s="180"/>
      <c r="E444" s="180"/>
      <c r="F444" s="180"/>
      <c r="G444" s="180"/>
      <c r="H444" s="180"/>
    </row>
    <row r="445" spans="3:8" ht="15">
      <c r="C445" s="180"/>
      <c r="D445" s="180"/>
      <c r="E445" s="180"/>
      <c r="F445" s="180"/>
      <c r="G445" s="180"/>
      <c r="H445" s="180"/>
    </row>
    <row r="446" spans="3:8" ht="15">
      <c r="C446" s="180"/>
      <c r="D446" s="180"/>
      <c r="E446" s="180"/>
      <c r="F446" s="180"/>
      <c r="G446" s="180"/>
      <c r="H446" s="180"/>
    </row>
    <row r="447" spans="3:8" ht="15">
      <c r="C447" s="180"/>
      <c r="D447" s="180"/>
      <c r="E447" s="180"/>
      <c r="F447" s="180"/>
      <c r="G447" s="180"/>
      <c r="H447" s="180"/>
    </row>
    <row r="448" spans="3:8" ht="15">
      <c r="C448" s="180"/>
      <c r="D448" s="180"/>
      <c r="E448" s="180"/>
      <c r="F448" s="180"/>
      <c r="G448" s="180"/>
      <c r="H448" s="180"/>
    </row>
    <row r="449" spans="3:8" ht="15">
      <c r="C449" s="180"/>
      <c r="D449" s="180"/>
      <c r="E449" s="180"/>
      <c r="F449" s="180"/>
      <c r="G449" s="180"/>
      <c r="H449" s="180"/>
    </row>
    <row r="450" spans="3:9" ht="15">
      <c r="C450" s="180"/>
      <c r="D450" s="180"/>
      <c r="E450" s="180"/>
      <c r="F450" s="180"/>
      <c r="G450" s="180"/>
      <c r="H450" s="180"/>
      <c r="I450" s="183"/>
    </row>
    <row r="451" spans="3:9" ht="15">
      <c r="C451" s="180"/>
      <c r="D451" s="180"/>
      <c r="E451" s="180"/>
      <c r="F451" s="180"/>
      <c r="G451" s="180"/>
      <c r="H451" s="180"/>
      <c r="I451" s="184"/>
    </row>
    <row r="452" spans="3:9" ht="15">
      <c r="C452" s="180"/>
      <c r="D452" s="180"/>
      <c r="E452" s="180"/>
      <c r="F452" s="180"/>
      <c r="G452" s="180"/>
      <c r="H452" s="180"/>
      <c r="I452" s="183"/>
    </row>
    <row r="453" spans="3:9" ht="15">
      <c r="C453" s="180"/>
      <c r="D453" s="180"/>
      <c r="E453" s="180"/>
      <c r="F453" s="180"/>
      <c r="G453" s="180"/>
      <c r="H453" s="180"/>
      <c r="I453" s="184"/>
    </row>
    <row r="454" spans="3:8" ht="15">
      <c r="C454" s="180"/>
      <c r="D454" s="180"/>
      <c r="E454" s="180"/>
      <c r="F454" s="180"/>
      <c r="G454" s="180"/>
      <c r="H454" s="180"/>
    </row>
    <row r="455" spans="3:8" ht="15">
      <c r="C455" s="180"/>
      <c r="D455" s="180"/>
      <c r="E455" s="180"/>
      <c r="F455" s="180"/>
      <c r="G455" s="180"/>
      <c r="H455" s="180"/>
    </row>
    <row r="456" spans="3:8" ht="15">
      <c r="C456" s="180"/>
      <c r="D456" s="180"/>
      <c r="E456" s="180"/>
      <c r="F456" s="180"/>
      <c r="G456" s="180"/>
      <c r="H456" s="180"/>
    </row>
    <row r="457" spans="3:8" ht="15">
      <c r="C457" s="180"/>
      <c r="D457" s="180"/>
      <c r="E457" s="180"/>
      <c r="F457" s="180"/>
      <c r="G457" s="180"/>
      <c r="H457" s="180"/>
    </row>
    <row r="458" spans="3:8" ht="15">
      <c r="C458" s="180"/>
      <c r="D458" s="180"/>
      <c r="E458" s="180"/>
      <c r="F458" s="180"/>
      <c r="G458" s="180"/>
      <c r="H458" s="180"/>
    </row>
    <row r="459" spans="3:8" ht="15">
      <c r="C459" s="180"/>
      <c r="D459" s="180"/>
      <c r="E459" s="180"/>
      <c r="F459" s="180"/>
      <c r="G459" s="180"/>
      <c r="H459" s="180"/>
    </row>
    <row r="460" spans="3:8" ht="15">
      <c r="C460" s="180"/>
      <c r="D460" s="180"/>
      <c r="E460" s="180"/>
      <c r="F460" s="180"/>
      <c r="G460" s="180"/>
      <c r="H460" s="180"/>
    </row>
    <row r="461" spans="3:8" ht="15">
      <c r="C461" s="180"/>
      <c r="D461" s="180"/>
      <c r="E461" s="180"/>
      <c r="F461" s="180"/>
      <c r="G461" s="180"/>
      <c r="H461" s="180"/>
    </row>
    <row r="462" spans="3:9" ht="15">
      <c r="C462" s="180"/>
      <c r="D462" s="180"/>
      <c r="E462" s="180"/>
      <c r="F462" s="180"/>
      <c r="G462" s="180"/>
      <c r="H462" s="180"/>
      <c r="I462" s="183"/>
    </row>
    <row r="463" spans="3:9" ht="15">
      <c r="C463" s="180"/>
      <c r="D463" s="180"/>
      <c r="E463" s="180"/>
      <c r="F463" s="180"/>
      <c r="G463" s="180"/>
      <c r="H463" s="180"/>
      <c r="I463" s="184"/>
    </row>
    <row r="464" spans="3:9" ht="15">
      <c r="C464" s="180"/>
      <c r="D464" s="180"/>
      <c r="E464" s="180"/>
      <c r="F464" s="180"/>
      <c r="G464" s="180"/>
      <c r="H464" s="180"/>
      <c r="I464" s="183"/>
    </row>
    <row r="465" spans="3:9" ht="15">
      <c r="C465" s="180"/>
      <c r="D465" s="180"/>
      <c r="E465" s="180"/>
      <c r="F465" s="180"/>
      <c r="G465" s="180"/>
      <c r="H465" s="180"/>
      <c r="I465" s="184"/>
    </row>
    <row r="466" spans="3:8" ht="15">
      <c r="C466" s="180"/>
      <c r="D466" s="180"/>
      <c r="E466" s="180"/>
      <c r="F466" s="180"/>
      <c r="G466" s="180"/>
      <c r="H466" s="180"/>
    </row>
    <row r="467" spans="3:8" ht="15">
      <c r="C467" s="180"/>
      <c r="D467" s="180"/>
      <c r="E467" s="180"/>
      <c r="F467" s="180"/>
      <c r="G467" s="180"/>
      <c r="H467" s="180"/>
    </row>
    <row r="468" spans="3:8" ht="15">
      <c r="C468" s="180"/>
      <c r="D468" s="180"/>
      <c r="E468" s="180"/>
      <c r="F468" s="180"/>
      <c r="G468" s="180"/>
      <c r="H468" s="180"/>
    </row>
    <row r="469" spans="3:8" ht="15">
      <c r="C469" s="180"/>
      <c r="D469" s="180"/>
      <c r="E469" s="180"/>
      <c r="F469" s="180"/>
      <c r="G469" s="180"/>
      <c r="H469" s="180"/>
    </row>
    <row r="470" spans="3:8" ht="15">
      <c r="C470" s="180"/>
      <c r="D470" s="180"/>
      <c r="E470" s="180"/>
      <c r="F470" s="180"/>
      <c r="G470" s="180"/>
      <c r="H470" s="180"/>
    </row>
    <row r="471" spans="3:8" ht="15">
      <c r="C471" s="180"/>
      <c r="D471" s="180"/>
      <c r="E471" s="180"/>
      <c r="F471" s="180"/>
      <c r="G471" s="180"/>
      <c r="H471" s="180"/>
    </row>
    <row r="472" spans="3:8" ht="15">
      <c r="C472" s="180"/>
      <c r="D472" s="180"/>
      <c r="E472" s="180"/>
      <c r="F472" s="180"/>
      <c r="G472" s="180"/>
      <c r="H472" s="180"/>
    </row>
    <row r="473" spans="3:8" ht="15">
      <c r="C473" s="180"/>
      <c r="D473" s="180"/>
      <c r="E473" s="180"/>
      <c r="F473" s="180"/>
      <c r="G473" s="180"/>
      <c r="H473" s="180"/>
    </row>
    <row r="474" spans="3:9" ht="15">
      <c r="C474" s="180"/>
      <c r="D474" s="180"/>
      <c r="E474" s="180"/>
      <c r="F474" s="180"/>
      <c r="G474" s="180"/>
      <c r="H474" s="180"/>
      <c r="I474" s="183"/>
    </row>
    <row r="475" spans="3:9" ht="15">
      <c r="C475" s="180"/>
      <c r="D475" s="180"/>
      <c r="E475" s="180"/>
      <c r="F475" s="180"/>
      <c r="G475" s="180"/>
      <c r="H475" s="180"/>
      <c r="I475" s="184"/>
    </row>
    <row r="476" spans="3:9" ht="15">
      <c r="C476" s="180"/>
      <c r="D476" s="180"/>
      <c r="E476" s="180"/>
      <c r="F476" s="180"/>
      <c r="G476" s="180"/>
      <c r="H476" s="180"/>
      <c r="I476" s="183"/>
    </row>
    <row r="477" spans="3:9" ht="15">
      <c r="C477" s="180"/>
      <c r="D477" s="180"/>
      <c r="E477" s="180"/>
      <c r="F477" s="180"/>
      <c r="G477" s="180"/>
      <c r="H477" s="180"/>
      <c r="I477" s="184"/>
    </row>
    <row r="478" spans="3:8" ht="15">
      <c r="C478" s="180"/>
      <c r="D478" s="180"/>
      <c r="E478" s="180"/>
      <c r="F478" s="180"/>
      <c r="G478" s="180"/>
      <c r="H478" s="180"/>
    </row>
    <row r="479" spans="3:8" ht="15">
      <c r="C479" s="180"/>
      <c r="D479" s="180"/>
      <c r="E479" s="180"/>
      <c r="F479" s="180"/>
      <c r="G479" s="180"/>
      <c r="H479" s="180"/>
    </row>
    <row r="480" spans="3:8" ht="15">
      <c r="C480" s="180"/>
      <c r="D480" s="180"/>
      <c r="E480" s="180"/>
      <c r="F480" s="180"/>
      <c r="G480" s="180"/>
      <c r="H480" s="180"/>
    </row>
    <row r="481" spans="3:8" ht="15">
      <c r="C481" s="180"/>
      <c r="D481" s="180"/>
      <c r="E481" s="180"/>
      <c r="F481" s="180"/>
      <c r="G481" s="180"/>
      <c r="H481" s="180"/>
    </row>
    <row r="482" spans="3:8" ht="15">
      <c r="C482" s="180"/>
      <c r="D482" s="180"/>
      <c r="E482" s="180"/>
      <c r="F482" s="180"/>
      <c r="G482" s="180"/>
      <c r="H482" s="180"/>
    </row>
    <row r="483" spans="3:8" ht="15">
      <c r="C483" s="180"/>
      <c r="D483" s="180"/>
      <c r="E483" s="180"/>
      <c r="F483" s="180"/>
      <c r="G483" s="180"/>
      <c r="H483" s="180"/>
    </row>
    <row r="484" spans="3:8" ht="15">
      <c r="C484" s="180"/>
      <c r="D484" s="180"/>
      <c r="E484" s="180"/>
      <c r="F484" s="180"/>
      <c r="G484" s="180"/>
      <c r="H484" s="180"/>
    </row>
    <row r="485" spans="3:8" ht="15">
      <c r="C485" s="180"/>
      <c r="D485" s="180"/>
      <c r="E485" s="180"/>
      <c r="F485" s="180"/>
      <c r="G485" s="180"/>
      <c r="H485" s="180"/>
    </row>
    <row r="486" spans="3:9" ht="15">
      <c r="C486" s="180"/>
      <c r="D486" s="180"/>
      <c r="E486" s="180"/>
      <c r="F486" s="180"/>
      <c r="G486" s="180"/>
      <c r="H486" s="180"/>
      <c r="I486" s="183"/>
    </row>
    <row r="487" spans="3:9" ht="15">
      <c r="C487" s="180"/>
      <c r="D487" s="180"/>
      <c r="E487" s="180"/>
      <c r="F487" s="180"/>
      <c r="G487" s="180"/>
      <c r="H487" s="180"/>
      <c r="I487" s="184"/>
    </row>
    <row r="488" spans="3:9" ht="15">
      <c r="C488" s="180"/>
      <c r="D488" s="180"/>
      <c r="E488" s="180"/>
      <c r="F488" s="180"/>
      <c r="G488" s="180"/>
      <c r="H488" s="180"/>
      <c r="I488" s="183"/>
    </row>
    <row r="489" spans="3:9" ht="15">
      <c r="C489" s="180"/>
      <c r="D489" s="180"/>
      <c r="E489" s="180"/>
      <c r="F489" s="180"/>
      <c r="G489" s="180"/>
      <c r="H489" s="180"/>
      <c r="I489" s="184"/>
    </row>
    <row r="490" spans="3:8" ht="15">
      <c r="C490" s="180"/>
      <c r="D490" s="180"/>
      <c r="E490" s="180"/>
      <c r="F490" s="180"/>
      <c r="G490" s="180"/>
      <c r="H490" s="180"/>
    </row>
    <row r="491" spans="3:8" ht="15">
      <c r="C491" s="180"/>
      <c r="D491" s="180"/>
      <c r="E491" s="180"/>
      <c r="F491" s="180"/>
      <c r="G491" s="180"/>
      <c r="H491" s="180"/>
    </row>
    <row r="492" spans="3:8" ht="15">
      <c r="C492" s="180"/>
      <c r="D492" s="180"/>
      <c r="E492" s="180"/>
      <c r="F492" s="180"/>
      <c r="G492" s="180"/>
      <c r="H492" s="180"/>
    </row>
    <row r="493" spans="3:8" ht="15">
      <c r="C493" s="180"/>
      <c r="D493" s="180"/>
      <c r="E493" s="180"/>
      <c r="F493" s="180"/>
      <c r="G493" s="180"/>
      <c r="H493" s="180"/>
    </row>
    <row r="494" spans="3:8" ht="15">
      <c r="C494" s="180"/>
      <c r="D494" s="180"/>
      <c r="E494" s="180"/>
      <c r="F494" s="180"/>
      <c r="G494" s="180"/>
      <c r="H494" s="180"/>
    </row>
    <row r="495" spans="3:8" ht="15">
      <c r="C495" s="180"/>
      <c r="D495" s="180"/>
      <c r="E495" s="180"/>
      <c r="F495" s="180"/>
      <c r="G495" s="180"/>
      <c r="H495" s="180"/>
    </row>
    <row r="496" spans="3:8" ht="15">
      <c r="C496" s="180"/>
      <c r="D496" s="180"/>
      <c r="E496" s="180"/>
      <c r="F496" s="180"/>
      <c r="G496" s="180"/>
      <c r="H496" s="180"/>
    </row>
    <row r="497" spans="3:8" ht="15">
      <c r="C497" s="180"/>
      <c r="D497" s="180"/>
      <c r="E497" s="180"/>
      <c r="F497" s="180"/>
      <c r="G497" s="180"/>
      <c r="H497" s="180"/>
    </row>
    <row r="498" spans="3:8" ht="15">
      <c r="C498" s="180"/>
      <c r="D498" s="180"/>
      <c r="E498" s="180"/>
      <c r="F498" s="180"/>
      <c r="G498" s="180"/>
      <c r="H498" s="180"/>
    </row>
    <row r="499" spans="3:8" ht="15">
      <c r="C499" s="180"/>
      <c r="D499" s="180"/>
      <c r="E499" s="180"/>
      <c r="F499" s="180"/>
      <c r="G499" s="180"/>
      <c r="H499" s="180"/>
    </row>
    <row r="500" spans="3:8" ht="15">
      <c r="C500" s="180"/>
      <c r="D500" s="180"/>
      <c r="E500" s="180"/>
      <c r="F500" s="180"/>
      <c r="G500" s="180"/>
      <c r="H500" s="180"/>
    </row>
    <row r="501" spans="3:8" ht="15">
      <c r="C501" s="180"/>
      <c r="D501" s="180"/>
      <c r="E501" s="180"/>
      <c r="F501" s="180"/>
      <c r="G501" s="180"/>
      <c r="H501" s="180"/>
    </row>
    <row r="502" spans="3:8" ht="15">
      <c r="C502" s="180"/>
      <c r="D502" s="180"/>
      <c r="E502" s="180"/>
      <c r="F502" s="180"/>
      <c r="G502" s="180"/>
      <c r="H502" s="180"/>
    </row>
    <row r="503" spans="3:8" ht="15">
      <c r="C503" s="180"/>
      <c r="D503" s="180"/>
      <c r="E503" s="180"/>
      <c r="F503" s="180"/>
      <c r="G503" s="180"/>
      <c r="H503" s="180"/>
    </row>
    <row r="504" spans="3:8" ht="15">
      <c r="C504" s="180"/>
      <c r="D504" s="180"/>
      <c r="E504" s="180"/>
      <c r="F504" s="180"/>
      <c r="G504" s="180"/>
      <c r="H504" s="180"/>
    </row>
    <row r="505" spans="3:8" ht="15">
      <c r="C505" s="180"/>
      <c r="D505" s="180"/>
      <c r="E505" s="180"/>
      <c r="F505" s="180"/>
      <c r="G505" s="180"/>
      <c r="H505" s="180"/>
    </row>
    <row r="506" spans="3:8" ht="15">
      <c r="C506" s="180"/>
      <c r="D506" s="180"/>
      <c r="E506" s="180"/>
      <c r="F506" s="180"/>
      <c r="G506" s="180"/>
      <c r="H506" s="180"/>
    </row>
    <row r="507" spans="3:8" ht="15">
      <c r="C507" s="180"/>
      <c r="D507" s="180"/>
      <c r="E507" s="180"/>
      <c r="F507" s="180"/>
      <c r="G507" s="180"/>
      <c r="H507" s="180"/>
    </row>
    <row r="508" spans="3:8" ht="15">
      <c r="C508" s="180"/>
      <c r="D508" s="180"/>
      <c r="E508" s="180"/>
      <c r="F508" s="180"/>
      <c r="G508" s="180"/>
      <c r="H508" s="180"/>
    </row>
    <row r="509" spans="3:8" ht="15">
      <c r="C509" s="180"/>
      <c r="D509" s="180"/>
      <c r="E509" s="180"/>
      <c r="F509" s="180"/>
      <c r="G509" s="180"/>
      <c r="H509" s="180"/>
    </row>
    <row r="510" spans="3:8" ht="15">
      <c r="C510" s="180"/>
      <c r="D510" s="180"/>
      <c r="E510" s="180"/>
      <c r="F510" s="180"/>
      <c r="G510" s="180"/>
      <c r="H510" s="180"/>
    </row>
  </sheetData>
  <sheetProtection sheet="1" objects="1" scenarios="1"/>
  <printOptions horizontalCentered="1"/>
  <pageMargins left="0.5" right="0.5" top="1.15" bottom="1.25" header="0.5" footer="0.5"/>
  <pageSetup blackAndWhite="1" fitToHeight="100" horizontalDpi="180" verticalDpi="180" orientation="portrait" scale="80" r:id="rId1"/>
  <headerFooter alignWithMargins="0">
    <oddHeader>&amp;LFile Name:  &amp;F&amp;RSheet Name:  &amp;A</oddHeader>
    <oddFooter>&amp;L&amp;D&amp;    &amp;T&amp;RPage  &amp;P  of  &amp;N</oddFooter>
  </headerFooter>
  <rowBreaks count="7" manualBreakCount="7">
    <brk id="47" max="65535" man="1"/>
    <brk id="95" max="65535" man="1"/>
    <brk id="143" max="65535" man="1"/>
    <brk id="191" max="65535" man="1"/>
    <brk id="239" max="65535" man="1"/>
    <brk id="287" max="65535" man="1"/>
    <brk id="3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8"/>
  </sheetPr>
  <dimension ref="A1:K20"/>
  <sheetViews>
    <sheetView showGridLines="0" showRowColHeaders="0" zoomScalePageLayoutView="0" workbookViewId="0" topLeftCell="A1">
      <selection activeCell="J30" sqref="J30"/>
    </sheetView>
  </sheetViews>
  <sheetFormatPr defaultColWidth="7.10546875" defaultRowHeight="15"/>
  <cols>
    <col min="1" max="1" width="4.77734375" style="81" customWidth="1"/>
    <col min="2" max="2" width="2.77734375" style="81" customWidth="1"/>
    <col min="3" max="3" width="13.10546875" style="81" customWidth="1"/>
    <col min="4" max="4" width="5.21484375" style="81" customWidth="1"/>
    <col min="5" max="8" width="7.10546875" style="81" customWidth="1"/>
    <col min="9" max="9" width="4.4453125" style="81" customWidth="1"/>
    <col min="10" max="10" width="7.10546875" style="81" customWidth="1"/>
    <col min="11" max="11" width="0" style="81" hidden="1" customWidth="1"/>
    <col min="12" max="16384" width="7.10546875" style="81" customWidth="1"/>
  </cols>
  <sheetData>
    <row r="1" spans="2:10" ht="24" thickTop="1">
      <c r="B1" s="312" t="s">
        <v>45</v>
      </c>
      <c r="C1" s="313"/>
      <c r="D1" s="313"/>
      <c r="E1" s="313"/>
      <c r="F1" s="313"/>
      <c r="G1" s="313"/>
      <c r="H1" s="313"/>
      <c r="I1" s="313"/>
      <c r="J1" s="314"/>
    </row>
    <row r="2" spans="2:10" ht="12.75">
      <c r="B2" s="321" t="s">
        <v>46</v>
      </c>
      <c r="C2" s="322"/>
      <c r="D2" s="322"/>
      <c r="E2" s="322"/>
      <c r="F2" s="322"/>
      <c r="G2" s="322"/>
      <c r="H2" s="322"/>
      <c r="I2" s="322"/>
      <c r="J2" s="323"/>
    </row>
    <row r="3" spans="2:10" ht="12.75">
      <c r="B3" s="89"/>
      <c r="C3" s="86" t="s">
        <v>47</v>
      </c>
      <c r="D3" s="148"/>
      <c r="E3" s="85"/>
      <c r="F3" s="85"/>
      <c r="G3" s="85"/>
      <c r="H3" s="85"/>
      <c r="I3" s="85"/>
      <c r="J3" s="91"/>
    </row>
    <row r="4" spans="2:11" ht="12.75">
      <c r="B4" s="89"/>
      <c r="C4" s="86" t="s">
        <v>48</v>
      </c>
      <c r="D4" s="148"/>
      <c r="E4" s="85"/>
      <c r="F4" s="85"/>
      <c r="G4" s="85"/>
      <c r="H4" s="85"/>
      <c r="I4" s="85"/>
      <c r="J4" s="91"/>
      <c r="K4" s="83">
        <v>2</v>
      </c>
    </row>
    <row r="5" spans="2:11" ht="12.75">
      <c r="B5" s="89"/>
      <c r="C5" s="86" t="s">
        <v>49</v>
      </c>
      <c r="D5" s="148"/>
      <c r="E5" s="85"/>
      <c r="F5" s="145" t="s">
        <v>50</v>
      </c>
      <c r="G5" s="85"/>
      <c r="H5" s="88" t="s">
        <v>51</v>
      </c>
      <c r="I5" s="85"/>
      <c r="J5" s="91"/>
      <c r="K5" s="81">
        <f>IF(K4=1,1.2,IF(K4=2,1.4,1.8))</f>
        <v>1.4</v>
      </c>
    </row>
    <row r="6" spans="2:10" ht="12.75">
      <c r="B6" s="89"/>
      <c r="C6" s="85"/>
      <c r="D6" s="85"/>
      <c r="E6" s="85"/>
      <c r="F6" s="88">
        <f>IF(D5="","",(((D3*4.3)+(D4*4.3)+655)-D5*4.7)*K5)</f>
      </c>
      <c r="G6" s="85"/>
      <c r="H6" s="88">
        <f>IF(D5="","",(((D3*6.2)+(D4*12.7)+65)-D5*6.8)*K5)</f>
      </c>
      <c r="I6" s="85"/>
      <c r="J6" s="91"/>
    </row>
    <row r="7" spans="1:10" ht="12.75">
      <c r="A7" s="84"/>
      <c r="B7" s="90"/>
      <c r="C7" s="87"/>
      <c r="D7" s="87"/>
      <c r="E7" s="87"/>
      <c r="F7" s="85"/>
      <c r="G7" s="85"/>
      <c r="H7" s="85"/>
      <c r="I7" s="85"/>
      <c r="J7" s="91"/>
    </row>
    <row r="8" spans="1:10" ht="12.75">
      <c r="A8" s="84"/>
      <c r="B8" s="90"/>
      <c r="C8" s="87"/>
      <c r="D8" s="87"/>
      <c r="E8" s="87"/>
      <c r="F8" s="85"/>
      <c r="G8" s="85"/>
      <c r="H8" s="85"/>
      <c r="I8" s="85"/>
      <c r="J8" s="91"/>
    </row>
    <row r="9" spans="1:10" ht="12.75">
      <c r="A9" s="84"/>
      <c r="B9" s="90"/>
      <c r="C9" s="87"/>
      <c r="D9" s="87"/>
      <c r="E9" s="87"/>
      <c r="F9" s="144">
        <f>IF(D3="","","Approximate daily calorie intake to")</f>
      </c>
      <c r="G9" s="85"/>
      <c r="H9" s="85"/>
      <c r="I9" s="85"/>
      <c r="J9" s="91"/>
    </row>
    <row r="10" spans="1:10" ht="12.75">
      <c r="A10" s="84"/>
      <c r="B10" s="90"/>
      <c r="C10" s="87"/>
      <c r="D10" s="87"/>
      <c r="E10" s="87"/>
      <c r="F10" s="85">
        <f>IF(D3="","",CONCATENATE("maintain a weight of ",D3," pounds."))</f>
      </c>
      <c r="G10" s="85"/>
      <c r="H10" s="85"/>
      <c r="I10" s="85"/>
      <c r="J10" s="91"/>
    </row>
    <row r="11" spans="1:10" ht="12.75">
      <c r="A11" s="84"/>
      <c r="B11" s="90"/>
      <c r="C11" s="87"/>
      <c r="D11" s="87"/>
      <c r="E11" s="87"/>
      <c r="F11" s="85"/>
      <c r="G11" s="85"/>
      <c r="H11" s="86"/>
      <c r="I11" s="88"/>
      <c r="J11" s="91"/>
    </row>
    <row r="12" spans="1:10" ht="12.75">
      <c r="A12" s="84"/>
      <c r="B12" s="90"/>
      <c r="C12" s="87"/>
      <c r="D12" s="87"/>
      <c r="E12" s="87"/>
      <c r="F12" s="85"/>
      <c r="G12" s="85"/>
      <c r="H12" s="315">
        <f>IF(D4="","","Your body mass index is")</f>
      </c>
      <c r="I12" s="88">
        <f>IF(D4="","",(D3*0.45)/((D4*0.0254)^2))</f>
      </c>
      <c r="J12" s="91"/>
    </row>
    <row r="13" spans="1:10" ht="12.75">
      <c r="A13" s="84"/>
      <c r="B13" s="90"/>
      <c r="C13" s="87"/>
      <c r="D13" s="87"/>
      <c r="E13" s="87"/>
      <c r="F13" s="85"/>
      <c r="G13" s="85"/>
      <c r="H13" s="315">
        <f>IF(D4="","","Your maximum weight should be")</f>
      </c>
      <c r="I13" s="88">
        <f>IF(D4="","",(((D4*0.0254)^2)/0.45)*25)</f>
      </c>
      <c r="J13" s="316">
        <f>IF(D4="","","pounds")</f>
      </c>
    </row>
    <row r="14" spans="1:10" ht="12.75">
      <c r="A14" s="84"/>
      <c r="B14" s="90"/>
      <c r="C14" s="87"/>
      <c r="D14" s="85"/>
      <c r="E14" s="87"/>
      <c r="F14" s="85"/>
      <c r="G14" s="85"/>
      <c r="H14" s="315">
        <f>IF(D4="","","Your minimum weight should be")</f>
      </c>
      <c r="I14" s="88">
        <f>IF(D4="","",(((D4*0.0254)^2)/0.45)*20)</f>
      </c>
      <c r="J14" s="316">
        <f>IF(D4="","","pounds")</f>
      </c>
    </row>
    <row r="15" spans="2:10" ht="15.75" customHeight="1" thickBot="1">
      <c r="B15" s="318"/>
      <c r="C15" s="319">
        <f>IF(D3="","","Your target body mass index should be 20 to 25.  Over 30 is considered obese.")</f>
      </c>
      <c r="D15" s="319"/>
      <c r="E15" s="319"/>
      <c r="F15" s="319"/>
      <c r="G15" s="319"/>
      <c r="H15" s="319"/>
      <c r="I15" s="319"/>
      <c r="J15" s="320"/>
    </row>
    <row r="16" ht="13.5" thickTop="1">
      <c r="C16" s="82"/>
    </row>
    <row r="17" spans="3:4" ht="12.75">
      <c r="C17" s="82"/>
      <c r="D17" s="317"/>
    </row>
    <row r="18" spans="3:4" ht="12.75">
      <c r="C18" s="82"/>
      <c r="D18" s="317"/>
    </row>
    <row r="19" spans="3:4" ht="12.75">
      <c r="C19" s="82"/>
      <c r="D19" s="317"/>
    </row>
    <row r="20" ht="12.75">
      <c r="D20" s="317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landscape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60"/>
  <sheetViews>
    <sheetView showGridLines="0" showRowColHeaders="0" zoomScalePageLayoutView="0" workbookViewId="0" topLeftCell="A1">
      <selection activeCell="F5" sqref="F5"/>
    </sheetView>
  </sheetViews>
  <sheetFormatPr defaultColWidth="7.10546875" defaultRowHeight="15"/>
  <cols>
    <col min="1" max="1" width="2.5546875" style="460" customWidth="1"/>
    <col min="2" max="2" width="7.5546875" style="460" customWidth="1"/>
    <col min="3" max="3" width="7.21484375" style="460" customWidth="1"/>
    <col min="4" max="5" width="6.77734375" style="460" customWidth="1"/>
    <col min="6" max="6" width="5.21484375" style="460" customWidth="1"/>
    <col min="7" max="7" width="6.88671875" style="460" bestFit="1" customWidth="1"/>
    <col min="8" max="8" width="2.10546875" style="460" customWidth="1"/>
    <col min="9" max="9" width="7.5546875" style="460" customWidth="1"/>
    <col min="10" max="10" width="5.99609375" style="460" customWidth="1"/>
    <col min="11" max="12" width="6.77734375" style="460" customWidth="1"/>
    <col min="13" max="13" width="5.21484375" style="460" customWidth="1"/>
    <col min="14" max="14" width="6.77734375" style="460" customWidth="1"/>
    <col min="15" max="15" width="8.3359375" style="460" customWidth="1"/>
    <col min="16" max="16384" width="7.10546875" style="460" customWidth="1"/>
  </cols>
  <sheetData>
    <row r="1" spans="2:10" ht="12.75">
      <c r="B1" s="461" t="s">
        <v>673</v>
      </c>
      <c r="C1" s="660"/>
      <c r="D1" s="660"/>
      <c r="E1" s="660"/>
      <c r="F1" s="660"/>
      <c r="G1" s="463"/>
      <c r="H1" s="463"/>
      <c r="I1" s="464" t="s">
        <v>674</v>
      </c>
      <c r="J1" s="465" t="s">
        <v>675</v>
      </c>
    </row>
    <row r="2" spans="2:9" ht="13.5" thickBot="1">
      <c r="B2" s="466"/>
      <c r="C2" s="463"/>
      <c r="D2" s="463"/>
      <c r="E2" s="463"/>
      <c r="F2" s="463"/>
      <c r="G2" s="463"/>
      <c r="H2" s="463"/>
      <c r="I2" s="464" t="s">
        <v>676</v>
      </c>
    </row>
    <row r="3" spans="4:10" ht="13.5" thickBot="1">
      <c r="D3" s="467" t="s">
        <v>677</v>
      </c>
      <c r="E3" s="468"/>
      <c r="G3" s="469" t="s">
        <v>682</v>
      </c>
      <c r="I3" s="464" t="s">
        <v>678</v>
      </c>
      <c r="J3" s="465" t="s">
        <v>679</v>
      </c>
    </row>
    <row r="4" spans="2:7" ht="13.5" thickBot="1">
      <c r="B4" s="470" t="s">
        <v>680</v>
      </c>
      <c r="C4" s="470" t="s">
        <v>681</v>
      </c>
      <c r="D4" s="470" t="s">
        <v>674</v>
      </c>
      <c r="E4" s="470" t="s">
        <v>678</v>
      </c>
      <c r="F4" s="471" t="s">
        <v>682</v>
      </c>
      <c r="G4" s="472" t="s">
        <v>692</v>
      </c>
    </row>
    <row r="5" spans="1:7" ht="12.75">
      <c r="A5" s="460">
        <v>1</v>
      </c>
      <c r="B5" s="473"/>
      <c r="C5" s="474"/>
      <c r="D5" s="475"/>
      <c r="E5" s="475"/>
      <c r="F5" s="476"/>
      <c r="G5" s="477">
        <f aca="true" t="shared" si="0" ref="G5:G36">IF(AND(ISNUMBER(D5),ISNUMBER(E5))=FALSE,"",D5-E5)</f>
      </c>
    </row>
    <row r="6" spans="1:7" ht="12.75">
      <c r="A6" s="460">
        <v>2</v>
      </c>
      <c r="B6" s="478"/>
      <c r="C6" s="479"/>
      <c r="D6" s="480"/>
      <c r="E6" s="480"/>
      <c r="F6" s="481"/>
      <c r="G6" s="482">
        <f t="shared" si="0"/>
      </c>
    </row>
    <row r="7" spans="1:7" ht="12.75">
      <c r="A7" s="460">
        <v>3</v>
      </c>
      <c r="B7" s="478"/>
      <c r="C7" s="479"/>
      <c r="D7" s="480"/>
      <c r="E7" s="480"/>
      <c r="F7" s="481"/>
      <c r="G7" s="482">
        <f t="shared" si="0"/>
      </c>
    </row>
    <row r="8" spans="1:7" ht="12.75">
      <c r="A8" s="460">
        <v>4</v>
      </c>
      <c r="B8" s="478"/>
      <c r="C8" s="479"/>
      <c r="D8" s="480"/>
      <c r="E8" s="480"/>
      <c r="F8" s="481"/>
      <c r="G8" s="482">
        <f t="shared" si="0"/>
      </c>
    </row>
    <row r="9" spans="1:7" ht="12.75">
      <c r="A9" s="460">
        <v>5</v>
      </c>
      <c r="B9" s="478"/>
      <c r="C9" s="479"/>
      <c r="D9" s="480"/>
      <c r="E9" s="480"/>
      <c r="F9" s="481"/>
      <c r="G9" s="482">
        <f t="shared" si="0"/>
      </c>
    </row>
    <row r="10" spans="1:7" ht="12.75">
      <c r="A10" s="460">
        <v>6</v>
      </c>
      <c r="B10" s="478"/>
      <c r="C10" s="479"/>
      <c r="D10" s="480"/>
      <c r="E10" s="480"/>
      <c r="F10" s="481"/>
      <c r="G10" s="482">
        <f t="shared" si="0"/>
      </c>
    </row>
    <row r="11" spans="1:7" ht="12.75">
      <c r="A11" s="460">
        <v>7</v>
      </c>
      <c r="B11" s="478"/>
      <c r="C11" s="479"/>
      <c r="D11" s="480"/>
      <c r="E11" s="480"/>
      <c r="F11" s="481"/>
      <c r="G11" s="482">
        <f t="shared" si="0"/>
      </c>
    </row>
    <row r="12" spans="1:7" ht="12.75">
      <c r="A12" s="460">
        <v>8</v>
      </c>
      <c r="B12" s="478"/>
      <c r="C12" s="479"/>
      <c r="D12" s="480"/>
      <c r="E12" s="480"/>
      <c r="F12" s="481"/>
      <c r="G12" s="482">
        <f t="shared" si="0"/>
      </c>
    </row>
    <row r="13" spans="1:7" ht="12.75">
      <c r="A13" s="460">
        <v>9</v>
      </c>
      <c r="B13" s="478"/>
      <c r="C13" s="479"/>
      <c r="D13" s="480"/>
      <c r="E13" s="480"/>
      <c r="F13" s="481"/>
      <c r="G13" s="482">
        <f t="shared" si="0"/>
      </c>
    </row>
    <row r="14" spans="1:7" ht="12.75">
      <c r="A14" s="460">
        <v>10</v>
      </c>
      <c r="B14" s="483"/>
      <c r="C14" s="484"/>
      <c r="D14" s="485"/>
      <c r="E14" s="485"/>
      <c r="F14" s="486"/>
      <c r="G14" s="482">
        <f t="shared" si="0"/>
      </c>
    </row>
    <row r="15" spans="1:7" ht="12.75">
      <c r="A15" s="460">
        <v>11</v>
      </c>
      <c r="B15" s="483"/>
      <c r="C15" s="484"/>
      <c r="D15" s="485"/>
      <c r="E15" s="485"/>
      <c r="F15" s="486"/>
      <c r="G15" s="482">
        <f t="shared" si="0"/>
      </c>
    </row>
    <row r="16" spans="1:7" ht="12.75">
      <c r="A16" s="460">
        <v>12</v>
      </c>
      <c r="B16" s="483"/>
      <c r="C16" s="484"/>
      <c r="D16" s="485"/>
      <c r="E16" s="485"/>
      <c r="F16" s="486"/>
      <c r="G16" s="482">
        <f t="shared" si="0"/>
      </c>
    </row>
    <row r="17" spans="1:7" ht="12.75">
      <c r="A17" s="460">
        <v>13</v>
      </c>
      <c r="B17" s="483"/>
      <c r="C17" s="484"/>
      <c r="D17" s="485"/>
      <c r="E17" s="485"/>
      <c r="F17" s="486"/>
      <c r="G17" s="482">
        <f t="shared" si="0"/>
      </c>
    </row>
    <row r="18" spans="1:7" ht="12.75">
      <c r="A18" s="460">
        <v>14</v>
      </c>
      <c r="B18" s="483"/>
      <c r="C18" s="484"/>
      <c r="D18" s="485"/>
      <c r="E18" s="485"/>
      <c r="F18" s="486"/>
      <c r="G18" s="482">
        <f t="shared" si="0"/>
      </c>
    </row>
    <row r="19" spans="1:7" ht="12.75">
      <c r="A19" s="460">
        <v>15</v>
      </c>
      <c r="B19" s="483"/>
      <c r="C19" s="484"/>
      <c r="D19" s="485"/>
      <c r="E19" s="485"/>
      <c r="F19" s="486"/>
      <c r="G19" s="482">
        <f t="shared" si="0"/>
      </c>
    </row>
    <row r="20" spans="1:7" ht="12.75">
      <c r="A20" s="460">
        <v>16</v>
      </c>
      <c r="B20" s="483"/>
      <c r="C20" s="484"/>
      <c r="D20" s="485"/>
      <c r="E20" s="485"/>
      <c r="F20" s="486"/>
      <c r="G20" s="482">
        <f t="shared" si="0"/>
      </c>
    </row>
    <row r="21" spans="1:7" ht="12.75">
      <c r="A21" s="460">
        <v>17</v>
      </c>
      <c r="B21" s="483"/>
      <c r="C21" s="484"/>
      <c r="D21" s="485"/>
      <c r="E21" s="485"/>
      <c r="F21" s="486"/>
      <c r="G21" s="482">
        <f t="shared" si="0"/>
      </c>
    </row>
    <row r="22" spans="1:7" ht="12.75">
      <c r="A22" s="460">
        <v>18</v>
      </c>
      <c r="B22" s="483"/>
      <c r="C22" s="484"/>
      <c r="D22" s="485"/>
      <c r="E22" s="485"/>
      <c r="F22" s="486"/>
      <c r="G22" s="482">
        <f t="shared" si="0"/>
      </c>
    </row>
    <row r="23" spans="1:7" ht="12.75">
      <c r="A23" s="460">
        <v>19</v>
      </c>
      <c r="B23" s="483"/>
      <c r="C23" s="484"/>
      <c r="D23" s="485"/>
      <c r="E23" s="485"/>
      <c r="F23" s="486"/>
      <c r="G23" s="482">
        <f t="shared" si="0"/>
      </c>
    </row>
    <row r="24" spans="1:7" ht="12.75">
      <c r="A24" s="460">
        <v>20</v>
      </c>
      <c r="B24" s="483"/>
      <c r="C24" s="484"/>
      <c r="D24" s="485"/>
      <c r="E24" s="485"/>
      <c r="F24" s="486"/>
      <c r="G24" s="482">
        <f t="shared" si="0"/>
      </c>
    </row>
    <row r="25" spans="1:7" ht="12.75">
      <c r="A25" s="460">
        <v>21</v>
      </c>
      <c r="B25" s="483"/>
      <c r="C25" s="484"/>
      <c r="D25" s="485"/>
      <c r="E25" s="485"/>
      <c r="F25" s="486"/>
      <c r="G25" s="482">
        <f t="shared" si="0"/>
      </c>
    </row>
    <row r="26" spans="1:7" ht="12.75">
      <c r="A26" s="460">
        <v>22</v>
      </c>
      <c r="B26" s="483"/>
      <c r="C26" s="484"/>
      <c r="D26" s="485"/>
      <c r="E26" s="485"/>
      <c r="F26" s="486"/>
      <c r="G26" s="482">
        <f t="shared" si="0"/>
      </c>
    </row>
    <row r="27" spans="1:7" ht="12.75">
      <c r="A27" s="460">
        <v>23</v>
      </c>
      <c r="B27" s="483"/>
      <c r="C27" s="484"/>
      <c r="D27" s="485"/>
      <c r="E27" s="485"/>
      <c r="F27" s="486"/>
      <c r="G27" s="482">
        <f t="shared" si="0"/>
      </c>
    </row>
    <row r="28" spans="1:7" ht="12.75">
      <c r="A28" s="460">
        <v>24</v>
      </c>
      <c r="B28" s="483"/>
      <c r="C28" s="484"/>
      <c r="D28" s="485"/>
      <c r="E28" s="485"/>
      <c r="F28" s="486"/>
      <c r="G28" s="482">
        <f t="shared" si="0"/>
      </c>
    </row>
    <row r="29" spans="1:7" ht="12.75">
      <c r="A29" s="460">
        <v>25</v>
      </c>
      <c r="B29" s="483"/>
      <c r="C29" s="484"/>
      <c r="D29" s="485"/>
      <c r="E29" s="485"/>
      <c r="F29" s="486"/>
      <c r="G29" s="482">
        <f t="shared" si="0"/>
      </c>
    </row>
    <row r="30" spans="1:7" ht="12.75">
      <c r="A30" s="460">
        <v>26</v>
      </c>
      <c r="B30" s="483"/>
      <c r="C30" s="484"/>
      <c r="D30" s="485"/>
      <c r="E30" s="485"/>
      <c r="F30" s="486"/>
      <c r="G30" s="482">
        <f t="shared" si="0"/>
      </c>
    </row>
    <row r="31" spans="1:7" ht="12.75">
      <c r="A31" s="460">
        <v>27</v>
      </c>
      <c r="B31" s="483"/>
      <c r="C31" s="484"/>
      <c r="D31" s="485"/>
      <c r="E31" s="485"/>
      <c r="F31" s="486"/>
      <c r="G31" s="482">
        <f t="shared" si="0"/>
      </c>
    </row>
    <row r="32" spans="1:7" ht="12.75">
      <c r="A32" s="460">
        <v>28</v>
      </c>
      <c r="B32" s="483"/>
      <c r="C32" s="484"/>
      <c r="D32" s="485"/>
      <c r="E32" s="485"/>
      <c r="F32" s="486"/>
      <c r="G32" s="482">
        <f t="shared" si="0"/>
      </c>
    </row>
    <row r="33" spans="1:7" ht="12.75">
      <c r="A33" s="460">
        <v>29</v>
      </c>
      <c r="B33" s="483"/>
      <c r="C33" s="484"/>
      <c r="D33" s="485"/>
      <c r="E33" s="485"/>
      <c r="F33" s="486"/>
      <c r="G33" s="482">
        <f t="shared" si="0"/>
      </c>
    </row>
    <row r="34" spans="1:7" ht="12.75">
      <c r="A34" s="460">
        <v>30</v>
      </c>
      <c r="B34" s="483"/>
      <c r="C34" s="484"/>
      <c r="D34" s="485"/>
      <c r="E34" s="485"/>
      <c r="F34" s="486"/>
      <c r="G34" s="482">
        <f t="shared" si="0"/>
      </c>
    </row>
    <row r="35" spans="1:7" ht="12.75">
      <c r="A35" s="460">
        <v>31</v>
      </c>
      <c r="B35" s="483"/>
      <c r="C35" s="484"/>
      <c r="D35" s="485"/>
      <c r="E35" s="485"/>
      <c r="F35" s="486"/>
      <c r="G35" s="482">
        <f t="shared" si="0"/>
      </c>
    </row>
    <row r="36" spans="1:7" ht="12.75">
      <c r="A36" s="460">
        <v>32</v>
      </c>
      <c r="B36" s="483"/>
      <c r="C36" s="484"/>
      <c r="D36" s="485"/>
      <c r="E36" s="485"/>
      <c r="F36" s="486"/>
      <c r="G36" s="482">
        <f t="shared" si="0"/>
      </c>
    </row>
    <row r="37" spans="1:7" ht="12.75">
      <c r="A37" s="460">
        <v>33</v>
      </c>
      <c r="B37" s="483"/>
      <c r="C37" s="484"/>
      <c r="D37" s="485"/>
      <c r="E37" s="485"/>
      <c r="F37" s="486"/>
      <c r="G37" s="482">
        <f aca="true" t="shared" si="1" ref="G37:G54">IF(AND(ISNUMBER(D37),ISNUMBER(E37))=FALSE,"",D37-E37)</f>
      </c>
    </row>
    <row r="38" spans="1:7" ht="12.75">
      <c r="A38" s="460">
        <v>34</v>
      </c>
      <c r="B38" s="483"/>
      <c r="C38" s="484"/>
      <c r="D38" s="485"/>
      <c r="E38" s="485"/>
      <c r="F38" s="486"/>
      <c r="G38" s="482">
        <f t="shared" si="1"/>
      </c>
    </row>
    <row r="39" spans="1:7" ht="12.75">
      <c r="A39" s="460">
        <v>35</v>
      </c>
      <c r="B39" s="483"/>
      <c r="C39" s="484"/>
      <c r="D39" s="485"/>
      <c r="E39" s="485"/>
      <c r="F39" s="486"/>
      <c r="G39" s="482">
        <f t="shared" si="1"/>
      </c>
    </row>
    <row r="40" spans="1:7" ht="12.75">
      <c r="A40" s="460">
        <v>36</v>
      </c>
      <c r="B40" s="483"/>
      <c r="C40" s="484"/>
      <c r="D40" s="485"/>
      <c r="E40" s="485"/>
      <c r="F40" s="486"/>
      <c r="G40" s="482">
        <f t="shared" si="1"/>
      </c>
    </row>
    <row r="41" spans="1:7" ht="12.75">
      <c r="A41" s="460">
        <v>37</v>
      </c>
      <c r="B41" s="483"/>
      <c r="C41" s="484"/>
      <c r="D41" s="485"/>
      <c r="E41" s="485"/>
      <c r="F41" s="486"/>
      <c r="G41" s="482">
        <f t="shared" si="1"/>
      </c>
    </row>
    <row r="42" spans="1:7" ht="12.75">
      <c r="A42" s="460">
        <v>38</v>
      </c>
      <c r="B42" s="483"/>
      <c r="C42" s="484"/>
      <c r="D42" s="485"/>
      <c r="E42" s="485"/>
      <c r="F42" s="486"/>
      <c r="G42" s="482">
        <f t="shared" si="1"/>
      </c>
    </row>
    <row r="43" spans="1:7" ht="12.75">
      <c r="A43" s="460">
        <v>39</v>
      </c>
      <c r="B43" s="483"/>
      <c r="C43" s="484"/>
      <c r="D43" s="485"/>
      <c r="E43" s="485"/>
      <c r="F43" s="486"/>
      <c r="G43" s="482">
        <f t="shared" si="1"/>
      </c>
    </row>
    <row r="44" spans="1:7" ht="12.75">
      <c r="A44" s="460">
        <v>40</v>
      </c>
      <c r="B44" s="483"/>
      <c r="C44" s="484"/>
      <c r="D44" s="485"/>
      <c r="E44" s="485"/>
      <c r="F44" s="486"/>
      <c r="G44" s="482">
        <f t="shared" si="1"/>
      </c>
    </row>
    <row r="45" spans="1:7" ht="12.75">
      <c r="A45" s="460">
        <v>41</v>
      </c>
      <c r="B45" s="483"/>
      <c r="C45" s="484"/>
      <c r="D45" s="485"/>
      <c r="E45" s="485"/>
      <c r="F45" s="486"/>
      <c r="G45" s="482">
        <f t="shared" si="1"/>
      </c>
    </row>
    <row r="46" spans="1:7" ht="12.75">
      <c r="A46" s="460">
        <v>42</v>
      </c>
      <c r="B46" s="483"/>
      <c r="C46" s="484"/>
      <c r="D46" s="485"/>
      <c r="E46" s="485"/>
      <c r="F46" s="486"/>
      <c r="G46" s="482">
        <f t="shared" si="1"/>
      </c>
    </row>
    <row r="47" spans="1:7" ht="12.75">
      <c r="A47" s="460">
        <v>43</v>
      </c>
      <c r="B47" s="483"/>
      <c r="C47" s="484"/>
      <c r="D47" s="485"/>
      <c r="E47" s="485"/>
      <c r="F47" s="486"/>
      <c r="G47" s="482">
        <f t="shared" si="1"/>
      </c>
    </row>
    <row r="48" spans="1:7" ht="12.75">
      <c r="A48" s="460">
        <v>44</v>
      </c>
      <c r="B48" s="483"/>
      <c r="C48" s="484"/>
      <c r="D48" s="485"/>
      <c r="E48" s="485"/>
      <c r="F48" s="486"/>
      <c r="G48" s="482">
        <f t="shared" si="1"/>
      </c>
    </row>
    <row r="49" spans="1:7" ht="12.75">
      <c r="A49" s="460">
        <v>45</v>
      </c>
      <c r="B49" s="483"/>
      <c r="C49" s="484"/>
      <c r="D49" s="485"/>
      <c r="E49" s="485"/>
      <c r="F49" s="486"/>
      <c r="G49" s="482">
        <f t="shared" si="1"/>
      </c>
    </row>
    <row r="50" spans="1:7" ht="12.75">
      <c r="A50" s="460">
        <v>46</v>
      </c>
      <c r="B50" s="483"/>
      <c r="C50" s="484"/>
      <c r="D50" s="485"/>
      <c r="E50" s="485"/>
      <c r="F50" s="486"/>
      <c r="G50" s="482">
        <f t="shared" si="1"/>
      </c>
    </row>
    <row r="51" spans="1:7" ht="12.75">
      <c r="A51" s="460">
        <v>47</v>
      </c>
      <c r="B51" s="483"/>
      <c r="C51" s="484"/>
      <c r="D51" s="485"/>
      <c r="E51" s="485"/>
      <c r="F51" s="486"/>
      <c r="G51" s="482">
        <f t="shared" si="1"/>
      </c>
    </row>
    <row r="52" spans="1:7" ht="12.75">
      <c r="A52" s="460">
        <v>48</v>
      </c>
      <c r="B52" s="483"/>
      <c r="C52" s="484"/>
      <c r="D52" s="485"/>
      <c r="E52" s="485"/>
      <c r="F52" s="486"/>
      <c r="G52" s="482">
        <f t="shared" si="1"/>
      </c>
    </row>
    <row r="53" spans="1:7" ht="12.75">
      <c r="A53" s="460">
        <v>49</v>
      </c>
      <c r="B53" s="483"/>
      <c r="C53" s="484"/>
      <c r="D53" s="485"/>
      <c r="E53" s="485"/>
      <c r="F53" s="486"/>
      <c r="G53" s="482">
        <f t="shared" si="1"/>
      </c>
    </row>
    <row r="54" spans="1:7" ht="13.5" thickBot="1">
      <c r="A54" s="460">
        <v>50</v>
      </c>
      <c r="B54" s="487"/>
      <c r="C54" s="488"/>
      <c r="D54" s="489"/>
      <c r="E54" s="489"/>
      <c r="F54" s="490"/>
      <c r="G54" s="491">
        <f t="shared" si="1"/>
      </c>
    </row>
    <row r="55" spans="3:12" ht="13.5" thickBot="1">
      <c r="C55" s="461" t="s">
        <v>683</v>
      </c>
      <c r="D55" s="492">
        <f>IF(SUM(D5:D54)=0,"",MIN(D5:D54))</f>
      </c>
      <c r="E55" s="493">
        <f>IF(SUM(E5:E54)=0,"",MIN(E5:E54))</f>
      </c>
      <c r="F55" s="494">
        <f>IF(SUM(F5:F54)=0,"",MIN(F5:F54))</f>
      </c>
      <c r="G55" s="495"/>
      <c r="J55" s="496" t="s">
        <v>674</v>
      </c>
      <c r="L55" s="496" t="s">
        <v>678</v>
      </c>
    </row>
    <row r="56" spans="3:15" ht="12.75">
      <c r="C56" s="461" t="s">
        <v>684</v>
      </c>
      <c r="D56" s="497">
        <f>IF(SUM(D5:D54)=0,"",MAX(D5:D54))</f>
      </c>
      <c r="E56" s="498">
        <f>IF(SUM(E5:E54)=0,"",MAX(E5:E54))</f>
      </c>
      <c r="F56" s="499">
        <f>IF(SUM(F5:F54)=0,"",MAX(F5:F54))</f>
      </c>
      <c r="G56" s="495"/>
      <c r="I56" s="461" t="s">
        <v>685</v>
      </c>
      <c r="J56" s="500" t="s">
        <v>686</v>
      </c>
      <c r="K56" s="501"/>
      <c r="L56" s="502" t="s">
        <v>687</v>
      </c>
      <c r="M56" s="503"/>
      <c r="O56" s="469" t="s">
        <v>699</v>
      </c>
    </row>
    <row r="57" spans="3:15" ht="12.75">
      <c r="C57" s="461" t="s">
        <v>688</v>
      </c>
      <c r="D57" s="497">
        <f>IF(SUM(D5:D54)=0,"",D56-D55)</f>
      </c>
      <c r="E57" s="498">
        <f>IF(SUM(E5:E54)=0,"",E56-E55)</f>
      </c>
      <c r="F57" s="499">
        <f>IF(SUM(F5:F54)=0,"",F56-F55)</f>
      </c>
      <c r="G57" s="495"/>
      <c r="I57" s="461" t="s">
        <v>689</v>
      </c>
      <c r="J57" s="504" t="s">
        <v>690</v>
      </c>
      <c r="K57" s="505"/>
      <c r="L57" s="506" t="s">
        <v>691</v>
      </c>
      <c r="M57" s="507"/>
      <c r="O57" s="508" t="s">
        <v>692</v>
      </c>
    </row>
    <row r="58" spans="3:15" ht="13.5" thickBot="1">
      <c r="C58" s="461" t="s">
        <v>693</v>
      </c>
      <c r="D58" s="509">
        <f>IF(SUM(D5:D54)=0,"",AVERAGE(D5:D54))</f>
      </c>
      <c r="E58" s="510">
        <f>IF(SUM(E5:E54)=0,"",AVERAGE(E5:E54))</f>
      </c>
      <c r="F58" s="511">
        <f>IF(SUM(F5:F54)=0,"",AVERAGE(F5:F54))</f>
      </c>
      <c r="G58" s="512"/>
      <c r="I58" s="461" t="s">
        <v>694</v>
      </c>
      <c r="J58" s="513" t="s">
        <v>695</v>
      </c>
      <c r="K58" s="462"/>
      <c r="L58" s="514" t="s">
        <v>696</v>
      </c>
      <c r="M58" s="515"/>
      <c r="O58" s="516">
        <f>IF(SUM(D5:E54)=0,"",D58-E58)</f>
      </c>
    </row>
    <row r="59" spans="3:9" ht="13.5" thickBot="1">
      <c r="C59" s="461" t="s">
        <v>697</v>
      </c>
      <c r="D59" s="517">
        <f>IF(COUNTA(D5:D54)&gt;1,STDEV(D5:D54),"")</f>
      </c>
      <c r="E59" s="518">
        <f>IF(COUNTA(E5:E54)&gt;1,STDEV(E5:E54),"")</f>
      </c>
      <c r="F59" s="519">
        <f>IF(COUNTA(F5:F54)&gt;1,STDEV(F5:F54),"")</f>
      </c>
      <c r="G59" s="520"/>
      <c r="I59" s="521" t="s">
        <v>698</v>
      </c>
    </row>
    <row r="60" ht="12.75">
      <c r="J60" s="461"/>
    </row>
  </sheetData>
  <sheetProtection sheet="1" objects="1" scenarios="1"/>
  <mergeCells count="1">
    <mergeCell ref="C1:F1"/>
  </mergeCells>
  <printOptions horizontalCentered="1" verticalCentered="1"/>
  <pageMargins left="0.5" right="0.5" top="0.75" bottom="0.75" header="0.5" footer="0.5"/>
  <pageSetup fitToHeight="1" fitToWidth="1" horizontalDpi="300" verticalDpi="300" orientation="portrait" scale="80" r:id="rId2"/>
  <headerFooter alignWithMargins="0">
    <oddFooter>&amp;LFile Name: &amp;F&amp;CSheet Name: &amp;A&amp;R&amp;D    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46"/>
  </sheetPr>
  <dimension ref="B1:I20"/>
  <sheetViews>
    <sheetView showGridLines="0" showRowColHeaders="0" zoomScale="75" zoomScaleNormal="75" zoomScalePageLayoutView="0" workbookViewId="0" topLeftCell="A1">
      <selection activeCell="B4" sqref="B4"/>
    </sheetView>
  </sheetViews>
  <sheetFormatPr defaultColWidth="9.77734375" defaultRowHeight="15"/>
  <cols>
    <col min="1" max="1" width="1.77734375" style="0" customWidth="1"/>
    <col min="2" max="4" width="10.77734375" style="0" customWidth="1"/>
    <col min="5" max="5" width="9.77734375" style="0" customWidth="1"/>
    <col min="6" max="6" width="10.77734375" style="0" customWidth="1"/>
    <col min="7" max="7" width="10.3359375" style="0" customWidth="1"/>
    <col min="8" max="9" width="10.77734375" style="0" customWidth="1"/>
    <col min="10" max="13" width="9.77734375" style="0" customWidth="1"/>
  </cols>
  <sheetData>
    <row r="1" spans="2:9" ht="24" thickTop="1">
      <c r="B1" s="7" t="s">
        <v>52</v>
      </c>
      <c r="C1" s="8"/>
      <c r="D1" s="8"/>
      <c r="E1" s="8"/>
      <c r="F1" s="8"/>
      <c r="G1" s="8"/>
      <c r="H1" s="8"/>
      <c r="I1" s="9"/>
    </row>
    <row r="2" spans="2:9" ht="15.75">
      <c r="B2" s="10" t="s">
        <v>53</v>
      </c>
      <c r="C2" s="11"/>
      <c r="D2" s="11"/>
      <c r="E2" s="4"/>
      <c r="F2" s="12" t="s">
        <v>54</v>
      </c>
      <c r="G2" s="11"/>
      <c r="H2" s="11"/>
      <c r="I2" s="13"/>
    </row>
    <row r="3" spans="2:9" ht="15">
      <c r="B3" s="14">
        <v>1</v>
      </c>
      <c r="C3" s="15" t="s">
        <v>55</v>
      </c>
      <c r="D3" s="16">
        <f>IF(B3="","",+B3/25.4)</f>
        <v>0.03937007874015748</v>
      </c>
      <c r="E3" s="5" t="s">
        <v>56</v>
      </c>
      <c r="F3" s="3"/>
      <c r="G3" s="15" t="s">
        <v>57</v>
      </c>
      <c r="H3" s="16">
        <f>IF(F3="","",+F3*25.4)</f>
      </c>
      <c r="I3" s="17" t="s">
        <v>58</v>
      </c>
    </row>
    <row r="4" spans="2:9" ht="15">
      <c r="B4" s="14"/>
      <c r="C4" s="15" t="s">
        <v>59</v>
      </c>
      <c r="D4" s="16">
        <f>IF(B4="","",+B4/2.54)</f>
      </c>
      <c r="E4" s="5" t="s">
        <v>56</v>
      </c>
      <c r="F4" s="3"/>
      <c r="G4" s="15" t="s">
        <v>57</v>
      </c>
      <c r="H4" s="16">
        <f>IF(F4="","",+F4*2.54)</f>
      </c>
      <c r="I4" s="17" t="s">
        <v>60</v>
      </c>
    </row>
    <row r="5" spans="2:9" ht="15">
      <c r="B5" s="14"/>
      <c r="C5" s="15" t="s">
        <v>61</v>
      </c>
      <c r="D5" s="18">
        <f>IF(B5="","",SUM(B5/0.3048))</f>
      </c>
      <c r="E5" s="5" t="s">
        <v>62</v>
      </c>
      <c r="F5" s="3"/>
      <c r="G5" s="15" t="s">
        <v>63</v>
      </c>
      <c r="H5" s="18">
        <f>IF(F5="","",SUM(F5*0.3048))</f>
      </c>
      <c r="I5" s="17" t="s">
        <v>64</v>
      </c>
    </row>
    <row r="6" spans="2:9" ht="15">
      <c r="B6" s="14"/>
      <c r="C6" s="15" t="s">
        <v>61</v>
      </c>
      <c r="D6" s="18">
        <f>IF(B6="","",SUM(B6/0.9144))</f>
      </c>
      <c r="E6" s="5" t="s">
        <v>65</v>
      </c>
      <c r="F6" s="3"/>
      <c r="G6" s="15" t="s">
        <v>66</v>
      </c>
      <c r="H6" s="18">
        <f>IF(F6="","",SUM(F6*0.9144))</f>
      </c>
      <c r="I6" s="17" t="s">
        <v>64</v>
      </c>
    </row>
    <row r="7" spans="2:9" ht="15">
      <c r="B7" s="14"/>
      <c r="C7" s="15" t="s">
        <v>67</v>
      </c>
      <c r="D7" s="16">
        <f>IF(B7="","",+B7/1.609344)</f>
      </c>
      <c r="E7" s="5" t="s">
        <v>68</v>
      </c>
      <c r="F7" s="3"/>
      <c r="G7" s="15" t="s">
        <v>69</v>
      </c>
      <c r="H7" s="16">
        <f>IF(F7="","",+F7*1.609344)</f>
      </c>
      <c r="I7" s="17" t="s">
        <v>70</v>
      </c>
    </row>
    <row r="8" spans="2:9" ht="15">
      <c r="B8" s="14"/>
      <c r="C8" s="15" t="s">
        <v>71</v>
      </c>
      <c r="D8" s="16">
        <f>IF(ISBLANK(B8),"",((9/5)*B8)+32)</f>
      </c>
      <c r="E8" s="5" t="s">
        <v>72</v>
      </c>
      <c r="F8" s="3"/>
      <c r="G8" s="15" t="s">
        <v>73</v>
      </c>
      <c r="H8" s="16">
        <f>IF(ISBLANK(F8),"",(5/9)*(F8-32))</f>
      </c>
      <c r="I8" s="17" t="s">
        <v>74</v>
      </c>
    </row>
    <row r="9" spans="2:9" ht="15">
      <c r="B9" s="14"/>
      <c r="C9" s="15" t="s">
        <v>75</v>
      </c>
      <c r="D9" s="16">
        <f>IF(B9="","",+B9*0.03527397)</f>
      </c>
      <c r="E9" s="5" t="s">
        <v>76</v>
      </c>
      <c r="F9" s="3"/>
      <c r="G9" s="15" t="s">
        <v>77</v>
      </c>
      <c r="H9" s="16">
        <f>IF(F9="","",+F9/0.03527397)</f>
      </c>
      <c r="I9" s="17" t="s">
        <v>78</v>
      </c>
    </row>
    <row r="10" spans="2:9" ht="15">
      <c r="B10" s="14"/>
      <c r="C10" s="15" t="s">
        <v>79</v>
      </c>
      <c r="D10" s="18">
        <f>IF(B10="","",B10/0.4535924)</f>
      </c>
      <c r="E10" s="5" t="s">
        <v>80</v>
      </c>
      <c r="F10" s="3"/>
      <c r="G10" s="15" t="s">
        <v>81</v>
      </c>
      <c r="H10" s="18">
        <f>IF(F10="","",F10*0.4535924)</f>
      </c>
      <c r="I10" s="17" t="s">
        <v>82</v>
      </c>
    </row>
    <row r="11" spans="2:9" ht="15">
      <c r="B11" s="14"/>
      <c r="C11" s="15" t="s">
        <v>83</v>
      </c>
      <c r="D11" s="16">
        <f>IF(B11="","",+B11*1.056688)</f>
      </c>
      <c r="E11" s="5" t="s">
        <v>84</v>
      </c>
      <c r="F11" s="3"/>
      <c r="G11" s="15" t="s">
        <v>85</v>
      </c>
      <c r="H11" s="16">
        <f>IF(F11="","",+F11/1.056668)</f>
      </c>
      <c r="I11" s="17" t="s">
        <v>86</v>
      </c>
    </row>
    <row r="12" spans="2:9" ht="15">
      <c r="B12" s="14"/>
      <c r="C12" s="15" t="s">
        <v>83</v>
      </c>
      <c r="D12" s="16">
        <f>IF(B12="","",+B12*0.264172)</f>
      </c>
      <c r="E12" s="5" t="s">
        <v>87</v>
      </c>
      <c r="F12" s="3"/>
      <c r="G12" s="15" t="s">
        <v>88</v>
      </c>
      <c r="H12" s="16">
        <f>IF(F12="","",+F12/0.264172)</f>
      </c>
      <c r="I12" s="17" t="s">
        <v>86</v>
      </c>
    </row>
    <row r="13" spans="2:9" ht="15">
      <c r="B13" s="14"/>
      <c r="C13" s="18"/>
      <c r="D13" s="18"/>
      <c r="E13" s="6"/>
      <c r="F13" s="3"/>
      <c r="G13" s="18"/>
      <c r="H13" s="18"/>
      <c r="I13" s="19"/>
    </row>
    <row r="14" spans="2:9" ht="15">
      <c r="B14" s="14"/>
      <c r="C14" s="18"/>
      <c r="D14" s="18"/>
      <c r="E14" s="6"/>
      <c r="F14" s="3"/>
      <c r="G14" s="18"/>
      <c r="H14" s="18"/>
      <c r="I14" s="19"/>
    </row>
    <row r="15" spans="2:9" ht="15">
      <c r="B15" s="14"/>
      <c r="C15" s="18"/>
      <c r="D15" s="18"/>
      <c r="E15" s="6"/>
      <c r="F15" s="3"/>
      <c r="G15" s="18"/>
      <c r="H15" s="18"/>
      <c r="I15" s="19"/>
    </row>
    <row r="16" spans="2:9" ht="15">
      <c r="B16" s="14"/>
      <c r="C16" s="18"/>
      <c r="D16" s="18"/>
      <c r="E16" s="6"/>
      <c r="F16" s="3"/>
      <c r="G16" s="18"/>
      <c r="H16" s="18"/>
      <c r="I16" s="19"/>
    </row>
    <row r="17" spans="2:9" ht="15">
      <c r="B17" s="14"/>
      <c r="C17" s="18"/>
      <c r="D17" s="18"/>
      <c r="E17" s="6"/>
      <c r="F17" s="3"/>
      <c r="G17" s="18"/>
      <c r="H17" s="18"/>
      <c r="I17" s="19"/>
    </row>
    <row r="18" spans="2:9" ht="15">
      <c r="B18" s="14"/>
      <c r="C18" s="18"/>
      <c r="D18" s="18"/>
      <c r="E18" s="6"/>
      <c r="F18" s="3"/>
      <c r="G18" s="18"/>
      <c r="H18" s="18"/>
      <c r="I18" s="19"/>
    </row>
    <row r="19" spans="2:9" ht="15">
      <c r="B19" s="14"/>
      <c r="C19" s="18"/>
      <c r="D19" s="18"/>
      <c r="E19" s="6"/>
      <c r="F19" s="3"/>
      <c r="G19" s="18"/>
      <c r="H19" s="18"/>
      <c r="I19" s="19"/>
    </row>
    <row r="20" spans="2:9" ht="15.75" thickBot="1">
      <c r="B20" s="20"/>
      <c r="C20" s="21" t="s">
        <v>89</v>
      </c>
      <c r="D20" s="21">
        <f>IF(B20="","",+B20*0.0174532925199433)</f>
      </c>
      <c r="E20" s="22" t="s">
        <v>90</v>
      </c>
      <c r="F20" s="23"/>
      <c r="G20" s="21" t="s">
        <v>91</v>
      </c>
      <c r="H20" s="21">
        <f>IF(F20="","",+F20/0.0174532925199433)</f>
      </c>
      <c r="I20" s="24" t="s">
        <v>92</v>
      </c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B2:C9"/>
  <sheetViews>
    <sheetView showGridLines="0" showRowColHeaders="0" zoomScalePageLayoutView="0" workbookViewId="0" topLeftCell="A1">
      <selection activeCell="B6" sqref="B6"/>
    </sheetView>
  </sheetViews>
  <sheetFormatPr defaultColWidth="8.88671875" defaultRowHeight="15"/>
  <cols>
    <col min="1" max="1" width="4.3359375" style="0" customWidth="1"/>
    <col min="2" max="2" width="20.77734375" style="0" customWidth="1"/>
    <col min="3" max="3" width="50.77734375" style="0" customWidth="1"/>
    <col min="4" max="4" width="9.77734375" style="0" customWidth="1"/>
  </cols>
  <sheetData>
    <row r="2" spans="2:3" ht="20.25">
      <c r="B2" s="379" t="s">
        <v>93</v>
      </c>
      <c r="C2" s="380"/>
    </row>
    <row r="3" spans="2:3" ht="15">
      <c r="B3" s="363" t="s">
        <v>94</v>
      </c>
      <c r="C3" s="362" t="s">
        <v>95</v>
      </c>
    </row>
    <row r="4" spans="2:3" ht="16.5" customHeight="1">
      <c r="B4" s="363"/>
      <c r="C4" s="362"/>
    </row>
    <row r="5" spans="2:3" ht="15">
      <c r="B5" s="363"/>
      <c r="C5" s="362" t="str">
        <f>IF(B6="","Select the desired conversion from the drop down list above.","")</f>
        <v>Select the desired conversion from the drop down list above.</v>
      </c>
    </row>
    <row r="6" spans="2:3" ht="15">
      <c r="B6" s="382"/>
      <c r="C6" s="362" t="str">
        <f>IF(B6="","Enter the amount to convert in the white cell to the left.",Data!S26)</f>
        <v>Enter the amount to convert in the white cell to the left.</v>
      </c>
    </row>
    <row r="7" spans="2:3" ht="15">
      <c r="B7" s="381">
        <f>IF(B6="","","x  "&amp;Data!S28)</f>
      </c>
      <c r="C7" s="362" t="str">
        <f>IF(B6="","The multiplier will automatically appear here.","is the multiplier")</f>
        <v>The multiplier will automatically appear here.</v>
      </c>
    </row>
    <row r="8" spans="2:3" ht="15">
      <c r="B8" s="383">
        <f>Data!S29</f>
      </c>
      <c r="C8" s="362" t="str">
        <f>IF(B6="","This is where the conversion is calculated.",Data!S27)</f>
        <v>This is where the conversion is calculated.</v>
      </c>
    </row>
    <row r="9" spans="2:3" ht="15">
      <c r="B9" s="365"/>
      <c r="C9" s="367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landscape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43"/>
  </sheetPr>
  <dimension ref="B1:I21"/>
  <sheetViews>
    <sheetView showGridLines="0" showRowColHeaders="0" zoomScale="74" zoomScaleNormal="74" zoomScalePageLayoutView="0" workbookViewId="0" topLeftCell="A1">
      <selection activeCell="P50" sqref="P50"/>
    </sheetView>
  </sheetViews>
  <sheetFormatPr defaultColWidth="9.77734375" defaultRowHeight="15"/>
  <cols>
    <col min="1" max="1" width="10.77734375" style="0" customWidth="1"/>
    <col min="2" max="2" width="3.77734375" style="0" customWidth="1"/>
    <col min="3" max="3" width="10.77734375" style="0" customWidth="1"/>
    <col min="4" max="4" width="5.77734375" style="0" customWidth="1"/>
    <col min="5" max="9" width="10.77734375" style="0" customWidth="1"/>
    <col min="11" max="11" width="8.77734375" style="0" customWidth="1"/>
  </cols>
  <sheetData>
    <row r="1" spans="2:9" ht="23.25">
      <c r="B1" s="58" t="s">
        <v>96</v>
      </c>
      <c r="C1" s="59"/>
      <c r="D1" s="59"/>
      <c r="E1" s="59"/>
      <c r="F1" s="59"/>
      <c r="G1" s="59"/>
      <c r="H1" s="59"/>
      <c r="I1" s="60"/>
    </row>
    <row r="2" spans="2:9" ht="13.5" customHeight="1">
      <c r="B2" s="61" t="s">
        <v>97</v>
      </c>
      <c r="C2" s="11"/>
      <c r="D2" s="11"/>
      <c r="E2" s="11"/>
      <c r="F2" s="11"/>
      <c r="G2" s="11"/>
      <c r="H2" s="11"/>
      <c r="I2" s="62"/>
    </row>
    <row r="3" spans="2:9" ht="15">
      <c r="B3" s="63"/>
      <c r="C3" s="18"/>
      <c r="D3" s="18"/>
      <c r="E3" s="18"/>
      <c r="F3" s="18"/>
      <c r="G3" s="18"/>
      <c r="H3" s="11" t="s">
        <v>90</v>
      </c>
      <c r="I3" s="62"/>
    </row>
    <row r="4" spans="2:9" ht="15">
      <c r="B4" s="63"/>
      <c r="C4" s="18"/>
      <c r="D4" s="18"/>
      <c r="E4" s="176" t="s">
        <v>98</v>
      </c>
      <c r="F4" s="176" t="s">
        <v>99</v>
      </c>
      <c r="G4" s="176" t="s">
        <v>100</v>
      </c>
      <c r="H4" s="177" t="s">
        <v>101</v>
      </c>
      <c r="I4" s="178" t="s">
        <v>102</v>
      </c>
    </row>
    <row r="5" spans="2:9" ht="15">
      <c r="B5" s="64" t="s">
        <v>103</v>
      </c>
      <c r="C5" s="3"/>
      <c r="D5" s="18"/>
      <c r="E5" s="174">
        <f>IF(OR(C6="",C7=""),"",SQRT((C7*C7)-(C6*C6)))</f>
      </c>
      <c r="F5" s="174">
        <f>IF(OR(C5="",C7=""),"",SQRT((C7*C7)-(C5*C5)))</f>
      </c>
      <c r="G5" s="174">
        <f>IF(OR(C5="",C6=""),"",SQRT((C5*C5)+(C6*C6)))</f>
      </c>
      <c r="H5" s="175">
        <f>IF(OR(C5="",C6=""),"",ATAN(SUM(C6/C5))*180/PI())</f>
      </c>
      <c r="I5" s="173">
        <f>IF(OR(C5="",C6=""),"",SUM(90-H5))</f>
      </c>
    </row>
    <row r="6" spans="2:9" ht="15">
      <c r="B6" s="64" t="s">
        <v>104</v>
      </c>
      <c r="C6" s="3"/>
      <c r="D6" s="18"/>
      <c r="E6" s="174">
        <f>IF(OR(C7="",C10=""),"",SUM(C7*COS((C10)/180*PI())))</f>
      </c>
      <c r="F6" s="174">
        <f>IF(OR(C7="",C10=""),"",SUM(C7*SIN((C10)/180*PI())))</f>
      </c>
      <c r="G6" s="174">
        <f>IF(OR(C6="",C10=""),"",SUM(C6/SIN((C10)/180*PI())))</f>
      </c>
      <c r="H6" s="175">
        <f>IF(OR(C5="",C7=""),"",SUM(90-I6))</f>
      </c>
      <c r="I6" s="173">
        <f>IF(OR(C5="",C7=""),"",ASIN(SUM(C5/C7))*180/PI())</f>
      </c>
    </row>
    <row r="7" spans="2:9" ht="15">
      <c r="B7" s="64" t="s">
        <v>105</v>
      </c>
      <c r="C7" s="3"/>
      <c r="D7" s="18"/>
      <c r="E7" s="174">
        <f>IF(OR(C7="",C11=""),"",SUM(C7*SIN((C11)/180*PI())))</f>
      </c>
      <c r="F7" s="174">
        <f>IF(OR(C7="",C11=""),"",SUM(C7*COS((C11)/180*PI())))</f>
      </c>
      <c r="G7" s="174">
        <f>IF(OR(C6="",C11=""),"",SUM(C6/COS((C11)/180*PI())))</f>
      </c>
      <c r="H7" s="175">
        <f>IF(OR(C6="",C7=""),"",ASIN(SUM(C6/C7))*180/PI())</f>
      </c>
      <c r="I7" s="173">
        <f>IF(OR(C6="",C7=""),"",SUM(90-H7))</f>
      </c>
    </row>
    <row r="8" spans="2:9" ht="15">
      <c r="B8" s="63"/>
      <c r="C8" s="18"/>
      <c r="D8" s="18"/>
      <c r="E8" s="174">
        <f>IF(OR(C6="",C10=""),"",SUM(C6*TAN((90-C10)/180*PI())))</f>
      </c>
      <c r="F8" s="174">
        <f>IF(OR(C5="",C10=""),"",SUM(C5*TAN((C10)/180*PI())))</f>
      </c>
      <c r="G8" s="174">
        <f>IF(OR(C5="",C10=""),"",SUM(C5/COS((C10)/180*PI())))</f>
      </c>
      <c r="H8" s="175">
        <f>IF(OR(C7="",C11=""),"",SUM(90-C11))</f>
      </c>
      <c r="I8" s="173">
        <f>IF(OR(C7="",C10=""),"",SUM(90-C10))</f>
      </c>
    </row>
    <row r="9" spans="2:9" ht="15">
      <c r="B9" s="64" t="s">
        <v>106</v>
      </c>
      <c r="C9" s="18">
        <v>90</v>
      </c>
      <c r="D9" s="18"/>
      <c r="E9" s="174">
        <f>IF(OR(C6="",C11=""),"",SUM(C6*TAN((C11)/180*PI())))</f>
      </c>
      <c r="F9" s="174">
        <f>IF(OR(C5="",C11=""),"",SUM(C5*TAN((90-C11)/180*PI())))</f>
      </c>
      <c r="G9" s="174">
        <f>IF(OR(C5="",C11=""),"",SUM(C5/SIN((C11)/180*PI())))</f>
      </c>
      <c r="H9" s="175">
        <f>IF(OR(C6="",C11=""),"",SUM(90-C11))</f>
      </c>
      <c r="I9" s="173">
        <f>IF(OR(C6="",C10=""),"",SUM(90-C10))</f>
      </c>
    </row>
    <row r="10" spans="2:9" ht="15">
      <c r="B10" s="64" t="s">
        <v>107</v>
      </c>
      <c r="C10" s="3"/>
      <c r="D10" s="51">
        <f>IF(OR(C10="",C11=""),"","This will not work with 2 angles entered")</f>
      </c>
      <c r="E10" s="174"/>
      <c r="F10" s="174"/>
      <c r="G10" s="174"/>
      <c r="H10" s="175">
        <f>IF(OR(C5="",C11=""),"",SUM(90-C11))</f>
      </c>
      <c r="I10" s="173">
        <f>IF(OR(C5="",C10=""),"",SUM(90-C10))</f>
      </c>
    </row>
    <row r="11" spans="2:9" ht="15">
      <c r="B11" s="64" t="s">
        <v>108</v>
      </c>
      <c r="C11" s="3"/>
      <c r="D11" s="18"/>
      <c r="E11" s="105"/>
      <c r="F11" s="105"/>
      <c r="G11" s="105"/>
      <c r="H11" s="11"/>
      <c r="I11" s="62"/>
    </row>
    <row r="12" spans="2:9" ht="15.75">
      <c r="B12" s="63"/>
      <c r="C12" s="18"/>
      <c r="D12" s="18"/>
      <c r="E12" s="108" t="s">
        <v>109</v>
      </c>
      <c r="F12" s="109"/>
      <c r="G12" s="109"/>
      <c r="H12" s="110"/>
      <c r="I12" s="111"/>
    </row>
    <row r="13" spans="2:9" ht="12" customHeight="1">
      <c r="B13" s="63"/>
      <c r="C13" s="18"/>
      <c r="D13" s="18"/>
      <c r="E13" s="132" t="s">
        <v>110</v>
      </c>
      <c r="F13" s="112"/>
      <c r="G13" s="112"/>
      <c r="H13" s="113"/>
      <c r="I13" s="114"/>
    </row>
    <row r="14" spans="2:9" ht="15">
      <c r="B14" s="63"/>
      <c r="C14" s="18"/>
      <c r="D14" s="18"/>
      <c r="E14" s="115">
        <f>IF(G14="","",+G14)</f>
        <v>6</v>
      </c>
      <c r="F14" s="116" t="s">
        <v>90</v>
      </c>
      <c r="G14" s="3">
        <v>6</v>
      </c>
      <c r="H14" s="117">
        <f>IF(G14+G15+G16="","",TRUNC(E14))</f>
        <v>6</v>
      </c>
      <c r="I14" s="118" t="s">
        <v>90</v>
      </c>
    </row>
    <row r="15" spans="2:9" ht="15">
      <c r="B15" s="66" t="s">
        <v>101</v>
      </c>
      <c r="C15" s="18"/>
      <c r="D15" s="18"/>
      <c r="E15" s="115">
        <f>IF(G15="","",G15/60)</f>
        <v>0.4166666666666667</v>
      </c>
      <c r="F15" s="116" t="s">
        <v>111</v>
      </c>
      <c r="G15" s="3">
        <v>25</v>
      </c>
      <c r="H15" s="117">
        <f>IF(G14+G15+G16="","",TRUNC((E17-H14)*60))</f>
        <v>25</v>
      </c>
      <c r="I15" s="118" t="s">
        <v>111</v>
      </c>
    </row>
    <row r="16" spans="2:9" ht="15">
      <c r="B16" s="63"/>
      <c r="C16" s="18"/>
      <c r="D16" s="18"/>
      <c r="E16" s="119">
        <f>IF(G16="","",G16/3600)</f>
      </c>
      <c r="F16" s="116" t="s">
        <v>112</v>
      </c>
      <c r="G16" s="3"/>
      <c r="H16" s="147">
        <f>IF(G14+G15+G16="","",((E17-H14)*60-H15)*60)</f>
        <v>1.0658141036401503E-12</v>
      </c>
      <c r="I16" s="118" t="s">
        <v>112</v>
      </c>
    </row>
    <row r="17" spans="2:9" ht="15">
      <c r="B17" s="63"/>
      <c r="C17" s="18"/>
      <c r="D17" s="15" t="s">
        <v>100</v>
      </c>
      <c r="E17" s="120">
        <f>IF(G14+G15+G16="","",SUM(E14+E15+E16))</f>
        <v>6.416666666666667</v>
      </c>
      <c r="F17" s="121" t="s">
        <v>113</v>
      </c>
      <c r="G17" s="122"/>
      <c r="H17" s="122"/>
      <c r="I17" s="123"/>
    </row>
    <row r="18" spans="2:9" ht="15.75">
      <c r="B18" s="66" t="s">
        <v>114</v>
      </c>
      <c r="C18" s="18"/>
      <c r="D18" s="18"/>
      <c r="E18" s="18"/>
      <c r="F18" s="41" t="s">
        <v>115</v>
      </c>
      <c r="G18" s="18" t="s">
        <v>116</v>
      </c>
      <c r="H18" s="18"/>
      <c r="I18" s="65"/>
    </row>
    <row r="19" spans="2:9" ht="15">
      <c r="B19" s="63"/>
      <c r="C19" s="18"/>
      <c r="D19" s="18"/>
      <c r="E19" s="18"/>
      <c r="F19" s="18"/>
      <c r="G19" s="18" t="s">
        <v>117</v>
      </c>
      <c r="H19" s="18"/>
      <c r="I19" s="65"/>
    </row>
    <row r="20" spans="2:9" ht="15">
      <c r="B20" s="63"/>
      <c r="C20" s="18"/>
      <c r="D20" s="18"/>
      <c r="E20" s="38" t="s">
        <v>118</v>
      </c>
      <c r="F20" s="18"/>
      <c r="G20" s="18" t="s">
        <v>119</v>
      </c>
      <c r="H20" s="18"/>
      <c r="I20" s="65"/>
    </row>
    <row r="21" spans="2:9" ht="15.75" thickBot="1">
      <c r="B21" s="67" t="s">
        <v>120</v>
      </c>
      <c r="C21" s="68"/>
      <c r="D21" s="69" t="s">
        <v>99</v>
      </c>
      <c r="E21" s="68"/>
      <c r="F21" s="68"/>
      <c r="G21" s="68"/>
      <c r="H21" s="68"/>
      <c r="I21" s="70"/>
    </row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Handy math sheets</dc:title>
  <dc:subject>Assorted helpful calculators</dc:subject>
  <dc:creator>Norman May (ncmay@yahoo.com)</dc:creator>
  <cp:keywords/>
  <dc:description>Enter the required information to obtain a solution to an assortment of mathematical problems.
Updated 8/6/03</dc:description>
  <cp:lastModifiedBy>nirav.vajani</cp:lastModifiedBy>
  <cp:lastPrinted>2006-01-11T01:28:40Z</cp:lastPrinted>
  <dcterms:created xsi:type="dcterms:W3CDTF">2001-02-11T20:27:08Z</dcterms:created>
  <dcterms:modified xsi:type="dcterms:W3CDTF">2009-03-16T05:54:43Z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